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Documents Anela\anela\IVANČICA\FINANCIJSKI PLAN - objava na web\"/>
    </mc:Choice>
  </mc:AlternateContent>
  <workbookProtection workbookPassword="DE31" lockStructure="1"/>
  <bookViews>
    <workbookView xWindow="0" yWindow="0" windowWidth="28800" windowHeight="11700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G79" i="13" l="1"/>
  <c r="G43" i="13"/>
  <c r="I108" i="17" l="1"/>
  <c r="I107" i="17"/>
  <c r="I101" i="17"/>
  <c r="I100" i="17"/>
  <c r="I95" i="17"/>
  <c r="I93" i="17"/>
  <c r="K92" i="17"/>
  <c r="J92" i="17"/>
  <c r="I92" i="17"/>
  <c r="I89" i="17"/>
  <c r="I87" i="17"/>
  <c r="I85" i="17"/>
  <c r="I83" i="17"/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D40" i="14" l="1"/>
  <c r="F501" i="17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D50" i="14" l="1"/>
  <c r="D49" i="14" s="1"/>
  <c r="O50" i="14"/>
  <c r="N50" i="14"/>
  <c r="L50" i="14"/>
  <c r="K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55" i="13"/>
  <c r="P31" i="13"/>
  <c r="P22" i="13"/>
  <c r="P14" i="13"/>
  <c r="P106" i="13"/>
  <c r="P96" i="13"/>
  <c r="P84" i="13"/>
  <c r="P58" i="13"/>
  <c r="P50" i="13"/>
  <c r="P25" i="13"/>
  <c r="P13" i="13"/>
  <c r="P102" i="13"/>
  <c r="P97" i="13"/>
  <c r="P93" i="13"/>
  <c r="P89" i="13"/>
  <c r="P85" i="13"/>
  <c r="P68" i="13"/>
  <c r="P64" i="13"/>
  <c r="P59" i="13"/>
  <c r="P51" i="13"/>
  <c r="P47" i="13"/>
  <c r="P27" i="13"/>
  <c r="P18" i="13"/>
  <c r="P101" i="13"/>
  <c r="P92" i="13"/>
  <c r="P67" i="13"/>
  <c r="P54" i="13"/>
  <c r="P30" i="13"/>
  <c r="P17" i="13"/>
  <c r="P104" i="13"/>
  <c r="P95" i="13"/>
  <c r="P83" i="13"/>
  <c r="P61" i="13"/>
  <c r="P53" i="13"/>
  <c r="P34" i="13"/>
  <c r="P24" i="13"/>
  <c r="P16" i="13"/>
  <c r="P88" i="13"/>
  <c r="P63" i="13"/>
  <c r="P35" i="13"/>
  <c r="P21" i="13"/>
  <c r="P100" i="13"/>
  <c r="P91" i="13"/>
  <c r="P87" i="13"/>
  <c r="P66" i="13"/>
  <c r="P57" i="13"/>
  <c r="P49" i="13"/>
  <c r="P29" i="13"/>
  <c r="P20" i="13"/>
  <c r="P12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L108" i="14"/>
  <c r="K108" i="14"/>
  <c r="J108" i="14"/>
  <c r="E108" i="14"/>
  <c r="O107" i="14"/>
  <c r="N107" i="14"/>
  <c r="L107" i="14"/>
  <c r="K107" i="14"/>
  <c r="J107" i="14"/>
  <c r="E107" i="14"/>
  <c r="O105" i="14"/>
  <c r="N105" i="14"/>
  <c r="L105" i="14"/>
  <c r="K105" i="14"/>
  <c r="J105" i="14"/>
  <c r="E105" i="14"/>
  <c r="O104" i="14"/>
  <c r="N104" i="14"/>
  <c r="L104" i="14"/>
  <c r="K104" i="14"/>
  <c r="J104" i="14"/>
  <c r="E104" i="14"/>
  <c r="O103" i="14"/>
  <c r="N103" i="14"/>
  <c r="L103" i="14"/>
  <c r="K103" i="14"/>
  <c r="J103" i="14"/>
  <c r="E103" i="14"/>
  <c r="O102" i="14"/>
  <c r="N102" i="14"/>
  <c r="L102" i="14"/>
  <c r="K102" i="14"/>
  <c r="J102" i="14"/>
  <c r="E102" i="14"/>
  <c r="O101" i="14"/>
  <c r="N101" i="14"/>
  <c r="L101" i="14"/>
  <c r="K101" i="14"/>
  <c r="J101" i="14"/>
  <c r="E101" i="14"/>
  <c r="O99" i="14"/>
  <c r="N99" i="14"/>
  <c r="L99" i="14"/>
  <c r="K99" i="14"/>
  <c r="J99" i="14"/>
  <c r="E99" i="14"/>
  <c r="O98" i="14"/>
  <c r="N98" i="14"/>
  <c r="L98" i="14"/>
  <c r="K98" i="14"/>
  <c r="J98" i="14"/>
  <c r="E98" i="14"/>
  <c r="O97" i="14"/>
  <c r="N97" i="14"/>
  <c r="L97" i="14"/>
  <c r="K97" i="14"/>
  <c r="J97" i="14"/>
  <c r="E97" i="14"/>
  <c r="O96" i="14"/>
  <c r="N96" i="14"/>
  <c r="L96" i="14"/>
  <c r="K96" i="14"/>
  <c r="J96" i="14"/>
  <c r="E96" i="14"/>
  <c r="O95" i="14"/>
  <c r="N95" i="14"/>
  <c r="L95" i="14"/>
  <c r="K95" i="14"/>
  <c r="J95" i="14"/>
  <c r="E95" i="14"/>
  <c r="O94" i="14"/>
  <c r="N94" i="14"/>
  <c r="L94" i="14"/>
  <c r="K94" i="14"/>
  <c r="J94" i="14"/>
  <c r="E94" i="14"/>
  <c r="O93" i="14"/>
  <c r="N93" i="14"/>
  <c r="L93" i="14"/>
  <c r="K93" i="14"/>
  <c r="J93" i="14"/>
  <c r="E93" i="14"/>
  <c r="E81" i="14"/>
  <c r="J81" i="14"/>
  <c r="K81" i="14"/>
  <c r="L81" i="14"/>
  <c r="N81" i="14"/>
  <c r="O81" i="14"/>
  <c r="E82" i="14"/>
  <c r="J82" i="14"/>
  <c r="K82" i="14"/>
  <c r="L82" i="14"/>
  <c r="N82" i="14"/>
  <c r="O82" i="14"/>
  <c r="E83" i="14"/>
  <c r="J83" i="14"/>
  <c r="K83" i="14"/>
  <c r="L83" i="14"/>
  <c r="N83" i="14"/>
  <c r="O83" i="14"/>
  <c r="E84" i="14"/>
  <c r="J84" i="14"/>
  <c r="K84" i="14"/>
  <c r="L84" i="14"/>
  <c r="N84" i="14"/>
  <c r="O84" i="14"/>
  <c r="E85" i="14"/>
  <c r="J85" i="14"/>
  <c r="K85" i="14"/>
  <c r="L85" i="14"/>
  <c r="N85" i="14"/>
  <c r="O85" i="14"/>
  <c r="E87" i="14"/>
  <c r="J87" i="14"/>
  <c r="K87" i="14"/>
  <c r="L87" i="14"/>
  <c r="N87" i="14"/>
  <c r="O87" i="14"/>
  <c r="O88" i="14"/>
  <c r="N88" i="14"/>
  <c r="L88" i="14"/>
  <c r="K88" i="14"/>
  <c r="J88" i="14"/>
  <c r="E88" i="14"/>
  <c r="O79" i="14"/>
  <c r="N79" i="14"/>
  <c r="L79" i="14"/>
  <c r="K79" i="14"/>
  <c r="J79" i="14"/>
  <c r="E79" i="14"/>
  <c r="O78" i="14"/>
  <c r="N78" i="14"/>
  <c r="L78" i="14"/>
  <c r="K78" i="14"/>
  <c r="J78" i="14"/>
  <c r="E78" i="14"/>
  <c r="O77" i="14"/>
  <c r="N77" i="14"/>
  <c r="L77" i="14"/>
  <c r="K77" i="14"/>
  <c r="J77" i="14"/>
  <c r="E77" i="14"/>
  <c r="O76" i="14"/>
  <c r="N76" i="14"/>
  <c r="L76" i="14"/>
  <c r="K76" i="14"/>
  <c r="J76" i="14"/>
  <c r="E76" i="14"/>
  <c r="O75" i="14"/>
  <c r="N75" i="14"/>
  <c r="L75" i="14"/>
  <c r="K75" i="14"/>
  <c r="J75" i="14"/>
  <c r="E75" i="14"/>
  <c r="O74" i="14"/>
  <c r="N74" i="14"/>
  <c r="L74" i="14"/>
  <c r="K74" i="14"/>
  <c r="J74" i="14"/>
  <c r="E74" i="14"/>
  <c r="O73" i="14"/>
  <c r="N73" i="14"/>
  <c r="L73" i="14"/>
  <c r="K73" i="14"/>
  <c r="J73" i="14"/>
  <c r="E73" i="14"/>
  <c r="E86" i="14" l="1"/>
  <c r="P86" i="14"/>
  <c r="L86" i="14"/>
  <c r="O86" i="14"/>
  <c r="K86" i="14"/>
  <c r="N86" i="14"/>
  <c r="J86" i="14"/>
  <c r="O68" i="14"/>
  <c r="N68" i="14"/>
  <c r="L68" i="14"/>
  <c r="K68" i="14"/>
  <c r="J68" i="14"/>
  <c r="E68" i="14"/>
  <c r="O67" i="14"/>
  <c r="N67" i="14"/>
  <c r="L67" i="14"/>
  <c r="K67" i="14"/>
  <c r="J67" i="14"/>
  <c r="E67" i="14"/>
  <c r="O66" i="14"/>
  <c r="N66" i="14"/>
  <c r="L66" i="14"/>
  <c r="K66" i="14"/>
  <c r="J66" i="14"/>
  <c r="E66" i="14"/>
  <c r="O65" i="14"/>
  <c r="N65" i="14"/>
  <c r="L65" i="14"/>
  <c r="K65" i="14"/>
  <c r="J65" i="14"/>
  <c r="E65" i="14"/>
  <c r="O64" i="14"/>
  <c r="N64" i="14"/>
  <c r="L64" i="14"/>
  <c r="K64" i="14"/>
  <c r="J64" i="14"/>
  <c r="E64" i="14"/>
  <c r="O62" i="14"/>
  <c r="N62" i="14"/>
  <c r="L62" i="14"/>
  <c r="K62" i="14"/>
  <c r="J62" i="14"/>
  <c r="E62" i="14"/>
  <c r="O61" i="14"/>
  <c r="N61" i="14"/>
  <c r="L61" i="14"/>
  <c r="K61" i="14"/>
  <c r="J61" i="14"/>
  <c r="E61" i="14"/>
  <c r="O60" i="14"/>
  <c r="N60" i="14"/>
  <c r="L60" i="14"/>
  <c r="K60" i="14"/>
  <c r="J60" i="14"/>
  <c r="E60" i="14"/>
  <c r="O57" i="14"/>
  <c r="N57" i="14"/>
  <c r="L57" i="14"/>
  <c r="K57" i="14"/>
  <c r="J57" i="14"/>
  <c r="E57" i="14"/>
  <c r="O56" i="14"/>
  <c r="N56" i="14"/>
  <c r="L56" i="14"/>
  <c r="K56" i="14"/>
  <c r="J56" i="14"/>
  <c r="E56" i="14"/>
  <c r="O55" i="14"/>
  <c r="N55" i="14"/>
  <c r="L55" i="14"/>
  <c r="K55" i="14"/>
  <c r="J55" i="14"/>
  <c r="E55" i="14"/>
  <c r="O54" i="14"/>
  <c r="N54" i="14"/>
  <c r="L54" i="14"/>
  <c r="K54" i="14"/>
  <c r="J54" i="14"/>
  <c r="E54" i="14"/>
  <c r="O52" i="14"/>
  <c r="N52" i="14"/>
  <c r="L52" i="14"/>
  <c r="K52" i="14"/>
  <c r="J52" i="14"/>
  <c r="E52" i="14"/>
  <c r="O48" i="14"/>
  <c r="N48" i="14"/>
  <c r="L48" i="14"/>
  <c r="K48" i="14"/>
  <c r="J48" i="14"/>
  <c r="E48" i="14"/>
  <c r="O47" i="14"/>
  <c r="N47" i="14"/>
  <c r="L47" i="14"/>
  <c r="K47" i="14"/>
  <c r="J47" i="14"/>
  <c r="E47" i="14"/>
  <c r="O46" i="14"/>
  <c r="N46" i="14"/>
  <c r="L46" i="14"/>
  <c r="K46" i="14"/>
  <c r="J46" i="14"/>
  <c r="E46" i="14"/>
  <c r="O45" i="14"/>
  <c r="N45" i="14"/>
  <c r="L45" i="14"/>
  <c r="K45" i="14"/>
  <c r="J45" i="14"/>
  <c r="E45" i="14"/>
  <c r="O44" i="14"/>
  <c r="N44" i="14"/>
  <c r="L44" i="14"/>
  <c r="K44" i="14"/>
  <c r="J44" i="14"/>
  <c r="E44" i="14"/>
  <c r="O43" i="14"/>
  <c r="N43" i="14"/>
  <c r="L43" i="14"/>
  <c r="K43" i="14"/>
  <c r="J43" i="14"/>
  <c r="E43" i="14"/>
  <c r="O41" i="14"/>
  <c r="N41" i="14"/>
  <c r="L41" i="14"/>
  <c r="K41" i="14"/>
  <c r="J41" i="14"/>
  <c r="E41" i="14"/>
  <c r="O40" i="14"/>
  <c r="N40" i="14"/>
  <c r="L40" i="14"/>
  <c r="K40" i="14"/>
  <c r="J40" i="14"/>
  <c r="E40" i="14"/>
  <c r="L59" i="14" l="1"/>
  <c r="K59" i="14"/>
  <c r="O59" i="14"/>
  <c r="J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L37" i="14"/>
  <c r="K37" i="14"/>
  <c r="J37" i="14"/>
  <c r="E37" i="14"/>
  <c r="O36" i="14"/>
  <c r="N36" i="14"/>
  <c r="L36" i="14"/>
  <c r="K36" i="14"/>
  <c r="J36" i="14"/>
  <c r="E36" i="14"/>
  <c r="O35" i="14"/>
  <c r="N35" i="14"/>
  <c r="L35" i="14"/>
  <c r="K35" i="14"/>
  <c r="J35" i="14"/>
  <c r="E35" i="14"/>
  <c r="O34" i="14"/>
  <c r="N34" i="14"/>
  <c r="L34" i="14"/>
  <c r="K34" i="14"/>
  <c r="J34" i="14"/>
  <c r="E34" i="14"/>
  <c r="O32" i="14"/>
  <c r="N32" i="14"/>
  <c r="L32" i="14"/>
  <c r="K32" i="14"/>
  <c r="J32" i="14"/>
  <c r="E32" i="14"/>
  <c r="O31" i="14"/>
  <c r="N31" i="14"/>
  <c r="L31" i="14"/>
  <c r="K31" i="14"/>
  <c r="J31" i="14"/>
  <c r="E31" i="14"/>
  <c r="O29" i="14"/>
  <c r="N29" i="14"/>
  <c r="L29" i="14"/>
  <c r="K29" i="14"/>
  <c r="J29" i="14"/>
  <c r="E29" i="14"/>
  <c r="O28" i="14"/>
  <c r="N28" i="14"/>
  <c r="L28" i="14"/>
  <c r="K28" i="14"/>
  <c r="J28" i="14"/>
  <c r="E28" i="14"/>
  <c r="O27" i="14"/>
  <c r="N27" i="14"/>
  <c r="L27" i="14"/>
  <c r="K27" i="14"/>
  <c r="J27" i="14"/>
  <c r="E27" i="14"/>
  <c r="O26" i="14"/>
  <c r="N26" i="14"/>
  <c r="L26" i="14"/>
  <c r="K26" i="14"/>
  <c r="J26" i="14"/>
  <c r="E26" i="14"/>
  <c r="O25" i="14"/>
  <c r="N25" i="14"/>
  <c r="L25" i="14"/>
  <c r="K25" i="14"/>
  <c r="J25" i="14"/>
  <c r="E25" i="14"/>
  <c r="O24" i="14"/>
  <c r="N24" i="14"/>
  <c r="L24" i="14"/>
  <c r="K24" i="14"/>
  <c r="J24" i="14"/>
  <c r="E24" i="14"/>
  <c r="O22" i="14"/>
  <c r="N22" i="14"/>
  <c r="L22" i="14"/>
  <c r="K22" i="14"/>
  <c r="J22" i="14"/>
  <c r="E22" i="14"/>
  <c r="O21" i="14"/>
  <c r="N21" i="14"/>
  <c r="L21" i="14"/>
  <c r="K21" i="14"/>
  <c r="J21" i="14"/>
  <c r="E21" i="14"/>
  <c r="O20" i="14"/>
  <c r="N20" i="14"/>
  <c r="L20" i="14"/>
  <c r="K20" i="14"/>
  <c r="J20" i="14"/>
  <c r="E20" i="14"/>
  <c r="O18" i="14"/>
  <c r="N18" i="14"/>
  <c r="L18" i="14"/>
  <c r="K18" i="14"/>
  <c r="J18" i="14"/>
  <c r="E18" i="14"/>
  <c r="O17" i="14"/>
  <c r="N17" i="14"/>
  <c r="L17" i="14"/>
  <c r="K17" i="14"/>
  <c r="J17" i="14"/>
  <c r="E17" i="14"/>
  <c r="O16" i="14"/>
  <c r="N16" i="14"/>
  <c r="L16" i="14"/>
  <c r="K16" i="14"/>
  <c r="J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L14" i="14"/>
  <c r="K14" i="14"/>
  <c r="J14" i="14"/>
  <c r="O13" i="14"/>
  <c r="N13" i="14"/>
  <c r="K13" i="14"/>
  <c r="J13" i="14"/>
  <c r="I13" i="14"/>
  <c r="E13" i="14"/>
  <c r="O12" i="14"/>
  <c r="N12" i="14"/>
  <c r="K12" i="14"/>
  <c r="J12" i="14"/>
  <c r="O11" i="14"/>
  <c r="N11" i="14"/>
  <c r="M11" i="14"/>
  <c r="L11" i="14"/>
  <c r="K11" i="14"/>
  <c r="J11" i="14"/>
  <c r="I11" i="14"/>
  <c r="E11" i="14"/>
  <c r="O10" i="14"/>
  <c r="N10" i="14"/>
  <c r="M10" i="14"/>
  <c r="L10" i="14"/>
  <c r="K10" i="14"/>
  <c r="J10" i="14"/>
  <c r="I10" i="14"/>
  <c r="O8" i="14"/>
  <c r="N8" i="14"/>
  <c r="K8" i="14"/>
  <c r="J8" i="14"/>
  <c r="I8" i="14"/>
  <c r="E8" i="14"/>
  <c r="O7" i="14"/>
  <c r="N7" i="14"/>
  <c r="K7" i="14"/>
  <c r="J7" i="14"/>
  <c r="F7" i="14"/>
  <c r="D7" i="14"/>
  <c r="O6" i="14"/>
  <c r="N6" i="14"/>
  <c r="L6" i="14"/>
  <c r="K6" i="14"/>
  <c r="J6" i="14"/>
  <c r="I6" i="14"/>
  <c r="E6" i="14"/>
  <c r="D6" i="14"/>
  <c r="D28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M13" i="14" l="1"/>
  <c r="M6" i="14"/>
  <c r="M8" i="14"/>
  <c r="M12" i="14"/>
  <c r="M7" i="14"/>
  <c r="M18" i="14"/>
  <c r="I14" i="14"/>
  <c r="I12" i="14"/>
  <c r="M34" i="14"/>
  <c r="I37" i="14"/>
  <c r="I7" i="14"/>
  <c r="H35" i="14"/>
  <c r="M104" i="14"/>
  <c r="M99" i="14"/>
  <c r="M95" i="14"/>
  <c r="M84" i="14"/>
  <c r="M77" i="14"/>
  <c r="M73" i="14"/>
  <c r="M97" i="14"/>
  <c r="M87" i="14"/>
  <c r="M79" i="14"/>
  <c r="M81" i="14"/>
  <c r="M85" i="14"/>
  <c r="M76" i="14"/>
  <c r="M105" i="14"/>
  <c r="M101" i="14"/>
  <c r="M96" i="14"/>
  <c r="M83" i="14"/>
  <c r="M78" i="14"/>
  <c r="M74" i="14"/>
  <c r="M93" i="14"/>
  <c r="M82" i="14"/>
  <c r="M75" i="14"/>
  <c r="M108" i="14"/>
  <c r="M103" i="14"/>
  <c r="M94" i="14"/>
  <c r="M88" i="14"/>
  <c r="M107" i="14"/>
  <c r="M102" i="14"/>
  <c r="M98" i="14"/>
  <c r="M24" i="14"/>
  <c r="M28" i="14"/>
  <c r="M50" i="14"/>
  <c r="M66" i="14"/>
  <c r="M61" i="14"/>
  <c r="M55" i="14"/>
  <c r="M47" i="14"/>
  <c r="M43" i="14"/>
  <c r="M57" i="14"/>
  <c r="M52" i="14"/>
  <c r="M54" i="14"/>
  <c r="M41" i="14"/>
  <c r="M67" i="14"/>
  <c r="M62" i="14"/>
  <c r="M56" i="14"/>
  <c r="M48" i="14"/>
  <c r="M44" i="14"/>
  <c r="M46" i="14"/>
  <c r="M68" i="14"/>
  <c r="M64" i="14"/>
  <c r="M45" i="14"/>
  <c r="M40" i="14"/>
  <c r="M65" i="14"/>
  <c r="M60" i="14"/>
  <c r="M17" i="14"/>
  <c r="M22" i="14"/>
  <c r="M27" i="14"/>
  <c r="M32" i="14"/>
  <c r="M37" i="14"/>
  <c r="M14" i="14"/>
  <c r="M16" i="14"/>
  <c r="M21" i="14"/>
  <c r="M26" i="14"/>
  <c r="M31" i="14"/>
  <c r="M36" i="14"/>
  <c r="M20" i="14"/>
  <c r="M25" i="14"/>
  <c r="M29" i="14"/>
  <c r="M35" i="14"/>
  <c r="I16" i="14"/>
  <c r="I17" i="14"/>
  <c r="I18" i="14"/>
  <c r="I20" i="14"/>
  <c r="I21" i="14"/>
  <c r="I22" i="14"/>
  <c r="I24" i="14"/>
  <c r="I25" i="14"/>
  <c r="I26" i="14"/>
  <c r="I27" i="14"/>
  <c r="I28" i="14"/>
  <c r="I29" i="14"/>
  <c r="I31" i="14"/>
  <c r="I32" i="14"/>
  <c r="I34" i="14"/>
  <c r="I35" i="14"/>
  <c r="I36" i="14"/>
  <c r="I81" i="14"/>
  <c r="I82" i="14"/>
  <c r="I83" i="14"/>
  <c r="I84" i="14"/>
  <c r="I85" i="14"/>
  <c r="I8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79" i="14"/>
  <c r="I78" i="14"/>
  <c r="I77" i="14"/>
  <c r="I76" i="14"/>
  <c r="I75" i="14"/>
  <c r="I74" i="14"/>
  <c r="I73" i="14"/>
  <c r="I50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48" i="14"/>
  <c r="I47" i="14"/>
  <c r="I46" i="14"/>
  <c r="I45" i="14"/>
  <c r="I44" i="14"/>
  <c r="I43" i="14"/>
  <c r="I41" i="14"/>
  <c r="I40" i="14"/>
  <c r="H37" i="14"/>
  <c r="H22" i="14"/>
  <c r="H6" i="14"/>
  <c r="H10" i="14"/>
  <c r="H14" i="14"/>
  <c r="H27" i="14"/>
  <c r="H17" i="14"/>
  <c r="H7" i="14"/>
  <c r="H8" i="14"/>
  <c r="H11" i="14"/>
  <c r="H12" i="14"/>
  <c r="H13" i="14"/>
  <c r="H32" i="14"/>
  <c r="H18" i="14"/>
  <c r="H24" i="14"/>
  <c r="H28" i="14"/>
  <c r="H34" i="14"/>
  <c r="H20" i="14"/>
  <c r="H25" i="14"/>
  <c r="H29" i="14"/>
  <c r="H50" i="14"/>
  <c r="H68" i="14"/>
  <c r="H64" i="14"/>
  <c r="H57" i="14"/>
  <c r="H52" i="14"/>
  <c r="H45" i="14"/>
  <c r="H40" i="14"/>
  <c r="H54" i="14"/>
  <c r="H41" i="14"/>
  <c r="H67" i="14"/>
  <c r="H62" i="14"/>
  <c r="H56" i="14"/>
  <c r="H48" i="14"/>
  <c r="H44" i="14"/>
  <c r="H65" i="14"/>
  <c r="H66" i="14"/>
  <c r="H61" i="14"/>
  <c r="H55" i="14"/>
  <c r="H47" i="14"/>
  <c r="H43" i="14"/>
  <c r="H60" i="14"/>
  <c r="H46" i="14"/>
  <c r="H16" i="14"/>
  <c r="H21" i="14"/>
  <c r="H26" i="14"/>
  <c r="H31" i="14"/>
  <c r="H36" i="14"/>
  <c r="G36" i="14"/>
  <c r="G16" i="14"/>
  <c r="G18" i="14"/>
  <c r="G21" i="14"/>
  <c r="G24" i="14"/>
  <c r="G26" i="14"/>
  <c r="G28" i="14"/>
  <c r="G31" i="14"/>
  <c r="G34" i="14"/>
  <c r="G108" i="14"/>
  <c r="G103" i="14"/>
  <c r="G98" i="14"/>
  <c r="G94" i="14"/>
  <c r="G81" i="14"/>
  <c r="G85" i="14"/>
  <c r="G88" i="14"/>
  <c r="G76" i="14"/>
  <c r="G83" i="14"/>
  <c r="G74" i="14"/>
  <c r="G95" i="14"/>
  <c r="G73" i="14"/>
  <c r="G107" i="14"/>
  <c r="G102" i="14"/>
  <c r="G97" i="14"/>
  <c r="G93" i="14"/>
  <c r="G82" i="14"/>
  <c r="G87" i="14"/>
  <c r="G79" i="14"/>
  <c r="G75" i="14"/>
  <c r="G78" i="14"/>
  <c r="G104" i="14"/>
  <c r="G77" i="14"/>
  <c r="G105" i="14"/>
  <c r="G101" i="14"/>
  <c r="G96" i="14"/>
  <c r="G99" i="14"/>
  <c r="G84" i="14"/>
  <c r="G50" i="14"/>
  <c r="G67" i="14"/>
  <c r="G65" i="14"/>
  <c r="G62" i="14"/>
  <c r="G60" i="14"/>
  <c r="G56" i="14"/>
  <c r="G54" i="14"/>
  <c r="G48" i="14"/>
  <c r="G46" i="14"/>
  <c r="G68" i="14"/>
  <c r="G66" i="14"/>
  <c r="G64" i="14"/>
  <c r="G61" i="14"/>
  <c r="G57" i="14"/>
  <c r="G55" i="14"/>
  <c r="G52" i="14"/>
  <c r="G47" i="14"/>
  <c r="G45" i="14"/>
  <c r="G43" i="14"/>
  <c r="G40" i="14"/>
  <c r="G44" i="14"/>
  <c r="G41" i="14"/>
  <c r="G17" i="14"/>
  <c r="G20" i="14"/>
  <c r="G22" i="14"/>
  <c r="G25" i="14"/>
  <c r="G27" i="14"/>
  <c r="G29" i="14"/>
  <c r="G32" i="14"/>
  <c r="G35" i="14"/>
  <c r="G37" i="14"/>
  <c r="F12" i="14"/>
  <c r="F6" i="14"/>
  <c r="F11" i="14"/>
  <c r="F8" i="14"/>
  <c r="F10" i="14"/>
  <c r="F13" i="14"/>
  <c r="F14" i="14"/>
  <c r="F35" i="14"/>
  <c r="F82" i="14"/>
  <c r="F84" i="14"/>
  <c r="F87" i="14"/>
  <c r="F77" i="14"/>
  <c r="F108" i="14"/>
  <c r="F105" i="14"/>
  <c r="F103" i="14"/>
  <c r="F101" i="14"/>
  <c r="F98" i="14"/>
  <c r="F96" i="14"/>
  <c r="F94" i="14"/>
  <c r="F88" i="14"/>
  <c r="F78" i="14"/>
  <c r="F76" i="14"/>
  <c r="F74" i="14"/>
  <c r="F102" i="14"/>
  <c r="F95" i="14"/>
  <c r="F75" i="14"/>
  <c r="F81" i="14"/>
  <c r="F83" i="14"/>
  <c r="F85" i="14"/>
  <c r="F107" i="14"/>
  <c r="F104" i="14"/>
  <c r="F99" i="14"/>
  <c r="F97" i="14"/>
  <c r="F93" i="14"/>
  <c r="F79" i="14"/>
  <c r="F73" i="14"/>
  <c r="F20" i="14"/>
  <c r="F25" i="14"/>
  <c r="F29" i="14"/>
  <c r="F50" i="14"/>
  <c r="F49" i="14" s="1"/>
  <c r="F68" i="14"/>
  <c r="F64" i="14"/>
  <c r="F57" i="14"/>
  <c r="F52" i="14"/>
  <c r="F48" i="14"/>
  <c r="F44" i="14"/>
  <c r="F40" i="14"/>
  <c r="F65" i="14"/>
  <c r="F60" i="14"/>
  <c r="F54" i="14"/>
  <c r="F45" i="14"/>
  <c r="F66" i="14"/>
  <c r="F61" i="14"/>
  <c r="F55" i="14"/>
  <c r="F46" i="14"/>
  <c r="F41" i="14"/>
  <c r="F67" i="14"/>
  <c r="F62" i="14"/>
  <c r="F56" i="14"/>
  <c r="F47" i="14"/>
  <c r="F43" i="14"/>
  <c r="F18" i="14"/>
  <c r="F24" i="14"/>
  <c r="F28" i="14"/>
  <c r="F34" i="14"/>
  <c r="F17" i="14"/>
  <c r="F22" i="14"/>
  <c r="F27" i="14"/>
  <c r="F32" i="14"/>
  <c r="F37" i="14"/>
  <c r="F16" i="14"/>
  <c r="F21" i="14"/>
  <c r="F26" i="14"/>
  <c r="F31" i="14"/>
  <c r="F36" i="14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M59" i="14" l="1"/>
  <c r="H59" i="14"/>
  <c r="M86" i="14"/>
  <c r="I86" i="14"/>
  <c r="I59" i="14"/>
  <c r="H63" i="14"/>
  <c r="G86" i="14"/>
  <c r="F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<sst xmlns="http://schemas.openxmlformats.org/spreadsheetml/2006/main" count="3557" uniqueCount="1689">
  <si>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</si>
  <si>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</si>
  <si>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</si>
  <si>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</si>
  <si>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</si>
  <si>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</si>
  <si>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</si>
  <si>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</si>
  <si>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</si>
  <si>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</si>
  <si>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</si>
  <si>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</si>
  <si>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</si>
  <si>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</si>
  <si>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</si>
  <si>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</si>
  <si>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</si>
  <si>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</si>
  <si>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</si>
  <si>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</si>
  <si>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</si>
  <si>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</si>
  <si>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</si>
  <si>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</si>
  <si>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</si>
  <si>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</si>
  <si>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</si>
  <si>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</si>
  <si>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</si>
  <si>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</si>
  <si>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</si>
  <si>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</si>
  <si>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</si>
  <si>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</si>
  <si>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</si>
  <si>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</si>
  <si>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</si>
  <si>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</si>
  <si>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</si>
  <si>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</si>
  <si>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</si>
  <si>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</si>
  <si>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</si>
  <si>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</si>
  <si>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</si>
  <si>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</si>
  <si>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</si>
  <si>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</si>
  <si>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</si>
  <si>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</si>
  <si>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</si>
  <si>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</si>
  <si>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</si>
  <si>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</si>
  <si>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</si>
  <si>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</si>
  <si>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</si>
  <si>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</si>
  <si>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</si>
  <si>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</si>
  <si>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</si>
  <si>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</si>
  <si>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</si>
  <si>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</si>
  <si>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</si>
  <si>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</si>
  <si>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</si>
  <si>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</si>
  <si>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</si>
  <si>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</si>
  <si>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</si>
  <si>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</si>
  <si>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</si>
  <si>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</si>
  <si>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</si>
  <si>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</si>
  <si>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</si>
  <si>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</si>
  <si>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</si>
  <si>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</si>
  <si>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</si>
  <si>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</si>
  <si>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</si>
  <si>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</si>
  <si>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</si>
  <si>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</si>
  <si>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</si>
  <si>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</si>
  <si>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</si>
  <si>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</si>
  <si>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</si>
  <si>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</si>
  <si>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</si>
  <si>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</si>
  <si>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</si>
  <si>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</si>
  <si>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</si>
  <si>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</si>
  <si>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</si>
  <si>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</si>
  <si>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</si>
  <si>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</si>
  <si>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</si>
  <si>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</si>
  <si>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</si>
  <si>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</si>
  <si>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</si>
  <si>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</si>
  <si>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</si>
  <si>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</si>
  <si>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</si>
  <si>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</si>
  <si>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</si>
  <si>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</si>
  <si>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</si>
  <si>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</si>
  <si>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</si>
  <si>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</si>
  <si>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</si>
  <si>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</si>
  <si>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</si>
  <si>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</si>
  <si>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</si>
  <si>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</si>
  <si>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</si>
  <si>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</si>
  <si>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</si>
  <si>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</si>
  <si>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</si>
  <si>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</si>
  <si>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</si>
  <si>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</si>
  <si>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</si>
  <si>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</si>
  <si>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</si>
  <si>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</si>
  <si>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</si>
  <si>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</si>
  <si>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</si>
  <si>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</si>
  <si>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</si>
  <si>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</si>
  <si>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</si>
  <si>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</si>
  <si>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</si>
  <si>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</si>
  <si>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</si>
  <si>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</si>
  <si>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</si>
  <si>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</si>
  <si>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</si>
  <si>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</si>
  <si>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</si>
  <si>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</si>
  <si>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</si>
  <si>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</si>
  <si>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</si>
  <si>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</si>
  <si>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</si>
  <si>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</si>
  <si>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</si>
  <si>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</si>
  <si>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</si>
  <si>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</si>
  <si>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</si>
  <si>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</si>
  <si>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</si>
  <si>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</si>
  <si>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</si>
  <si>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</si>
  <si>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</si>
  <si>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</si>
  <si>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</si>
  <si>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</si>
  <si>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</si>
  <si>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</si>
  <si>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</si>
  <si>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</si>
  <si>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</si>
  <si>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</si>
  <si>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</si>
  <si>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</si>
  <si>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</si>
  <si>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</si>
  <si>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</si>
  <si>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</si>
  <si>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</si>
  <si>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</si>
  <si>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</si>
  <si>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</si>
  <si>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</si>
  <si>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</si>
  <si>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</si>
  <si>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</si>
  <si>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</si>
  <si>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</si>
  <si>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</si>
  <si>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</si>
  <si>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</si>
  <si>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</si>
  <si>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</si>
  <si>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</si>
  <si>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</si>
  <si>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</si>
  <si>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</si>
  <si>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</si>
  <si>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</si>
  <si>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</si>
  <si>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</si>
  <si>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</si>
  <si>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</si>
  <si>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</si>
  <si>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</si>
  <si>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</si>
  <si>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</si>
  <si>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</si>
  <si>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</si>
  <si>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</si>
  <si>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</si>
  <si>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</si>
  <si>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</si>
  <si>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</si>
  <si>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</si>
  <si>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</si>
  <si>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</si>
  <si>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</si>
  <si>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</si>
  <si>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</si>
  <si>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</si>
  <si>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</si>
  <si>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</si>
  <si>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</si>
  <si>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</si>
  <si>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</si>
  <si>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</si>
  <si>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</si>
  <si>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</si>
  <si>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</si>
  <si>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</si>
  <si>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</si>
  <si>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</si>
  <si>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</si>
  <si>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</si>
  <si>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</si>
  <si>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</si>
  <si>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</si>
  <si>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</si>
  <si>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</si>
  <si>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</si>
  <si>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</si>
  <si>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</si>
  <si>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</si>
  <si>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</si>
  <si>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</si>
  <si>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</si>
  <si>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</si>
  <si>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</si>
  <si>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</si>
  <si>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</si>
  <si>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</si>
  <si>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</si>
  <si>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</si>
  <si>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</si>
  <si>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</si>
  <si>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</si>
  <si>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</si>
  <si>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</si>
  <si>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</si>
  <si>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</si>
  <si>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</si>
  <si>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</si>
  <si>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</si>
  <si>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</si>
  <si>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</si>
  <si>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</si>
  <si>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</si>
  <si>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</si>
  <si>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</si>
  <si>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</si>
  <si>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</si>
  <si>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</si>
  <si>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</si>
  <si>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</si>
  <si>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</si>
  <si>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</si>
  <si>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</si>
  <si>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</si>
  <si>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</si>
  <si>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</si>
  <si>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</si>
  <si>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</si>
  <si>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</si>
  <si>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</si>
  <si>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</si>
  <si>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</si>
  <si>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</si>
  <si>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</si>
  <si>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</si>
  <si>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</si>
  <si>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</si>
  <si>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</si>
  <si>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</si>
  <si>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</si>
  <si>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</si>
  <si>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</si>
  <si>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</si>
  <si>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</si>
  <si>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</si>
  <si>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</si>
  <si>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</si>
  <si>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</si>
  <si>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</si>
  <si>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</si>
  <si>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</si>
  <si>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</si>
  <si>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</si>
  <si>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</si>
  <si>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</si>
  <si>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</si>
  <si>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</si>
  <si>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</si>
  <si>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</si>
  <si>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</si>
  <si>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</si>
  <si>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</si>
  <si>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</si>
  <si>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</si>
  <si>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</si>
  <si>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</si>
  <si>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</si>
  <si>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</si>
  <si>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</si>
  <si>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</si>
  <si>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</si>
  <si>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</si>
  <si>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</si>
  <si>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</si>
  <si>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</si>
  <si>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</si>
  <si>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</si>
  <si>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</si>
  <si>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</si>
  <si>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</si>
  <si>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</si>
  <si>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</si>
  <si>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</si>
  <si>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</si>
  <si>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</si>
  <si>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</si>
  <si>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</si>
  <si>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</si>
  <si>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</si>
  <si>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</si>
  <si>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</si>
  <si>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</si>
  <si>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</si>
  <si>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</si>
  <si>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</si>
  <si>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</si>
  <si>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</si>
  <si>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</si>
  <si>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</si>
  <si>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</si>
  <si>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</si>
  <si>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</si>
  <si>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</si>
  <si>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</si>
  <si>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</si>
  <si>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</si>
  <si>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</si>
  <si>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</si>
  <si>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</si>
  <si>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</si>
  <si>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</si>
  <si>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</si>
  <si>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</si>
  <si>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</si>
  <si>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</si>
  <si>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</si>
  <si>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</si>
  <si>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</si>
  <si>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</si>
  <si>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</si>
  <si>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</si>
  <si>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</si>
  <si>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</si>
  <si>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</si>
  <si>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</si>
  <si>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</si>
  <si>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</si>
  <si>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</si>
  <si>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</si>
  <si>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</si>
  <si>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</si>
  <si>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</si>
  <si>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</si>
  <si>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</si>
  <si>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</si>
  <si>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</si>
  <si>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</si>
  <si>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</si>
  <si>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</si>
  <si>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</si>
  <si>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</si>
  <si>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</si>
  <si>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</si>
  <si>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</si>
  <si>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</si>
  <si>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</si>
  <si>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</si>
  <si>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</si>
  <si>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</si>
  <si>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</si>
  <si>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</si>
  <si>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</si>
  <si>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</si>
  <si>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</si>
  <si>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</si>
  <si>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</si>
  <si>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</si>
  <si>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</si>
  <si>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</si>
  <si>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</si>
  <si>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</si>
  <si>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</si>
  <si>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</si>
  <si>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</si>
  <si>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</si>
  <si>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</si>
  <si>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</si>
  <si>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</si>
  <si>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</si>
  <si>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</si>
  <si>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</si>
  <si>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</si>
  <si>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</si>
  <si>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</si>
  <si>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</si>
  <si>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</si>
  <si>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</si>
  <si>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</si>
  <si>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</si>
  <si>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</si>
  <si>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</si>
  <si>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</si>
  <si>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</si>
  <si>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</si>
  <si>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</si>
  <si>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</si>
  <si>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</si>
  <si>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</si>
  <si>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</si>
  <si>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</si>
  <si>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</si>
  <si>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</si>
  <si>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</si>
  <si>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</si>
  <si>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</si>
  <si>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</si>
  <si>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</si>
  <si>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</si>
  <si>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</si>
  <si>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</si>
  <si>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</si>
  <si>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</si>
  <si>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</si>
  <si>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</si>
  <si>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</si>
  <si>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</si>
  <si>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</si>
  <si>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</si>
  <si>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</si>
  <si>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</si>
  <si>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</si>
  <si>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</si>
  <si>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</si>
  <si>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</si>
  <si>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</si>
  <si>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</si>
  <si>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</si>
  <si>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</si>
  <si>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</si>
  <si>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</si>
  <si>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</si>
  <si>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</si>
  <si>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</si>
  <si>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</si>
  <si>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</si>
  <si>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</si>
  <si>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</si>
  <si>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</si>
  <si>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</si>
  <si>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</si>
  <si>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</si>
  <si>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</si>
  <si>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</si>
  <si>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</si>
  <si>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</si>
  <si>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</si>
  <si>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</si>
  <si>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</si>
  <si>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</si>
  <si>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</si>
  <si>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</si>
  <si>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</si>
  <si>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</si>
  <si>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</si>
  <si>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</si>
  <si>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</si>
  <si>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</si>
  <si>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</si>
  <si>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</si>
  <si>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</si>
  <si>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</si>
  <si>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</si>
  <si>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</si>
  <si>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</si>
  <si>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</si>
  <si>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</si>
  <si>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</si>
  <si>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</si>
  <si>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</si>
  <si>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</si>
  <si>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</si>
  <si>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</si>
  <si>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</si>
  <si>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</si>
  <si>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</si>
  <si>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</si>
  <si>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</si>
  <si>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</si>
  <si>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</si>
  <si>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</si>
  <si>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</si>
  <si>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</si>
  <si>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</si>
  <si>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</si>
  <si>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</si>
  <si>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</si>
  <si>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</si>
  <si>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</si>
  <si>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</si>
  <si>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</si>
  <si>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</si>
  <si>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</si>
  <si>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</si>
  <si>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</si>
  <si>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</si>
  <si>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</si>
  <si>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</si>
  <si>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</si>
  <si>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</si>
  <si>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</si>
  <si>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</si>
  <si>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</si>
  <si>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</si>
  <si>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</si>
  <si>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</si>
  <si>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</si>
  <si>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</si>
  <si>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</si>
  <si>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</si>
  <si>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</si>
  <si>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</si>
  <si>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</si>
  <si>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</si>
  <si>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</si>
  <si>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</si>
  <si>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</si>
  <si>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</si>
  <si>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</si>
  <si>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</si>
  <si>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</si>
  <si>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</si>
  <si>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</si>
  <si>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</si>
  <si>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</si>
  <si>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</si>
  <si>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</si>
  <si>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</si>
  <si>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</si>
  <si>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</si>
  <si>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</si>
  <si>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</si>
  <si>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</si>
  <si>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</si>
  <si>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</si>
  <si>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</si>
  <si>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</si>
  <si>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</si>
  <si>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</si>
  <si>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</si>
  <si>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</si>
  <si>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</si>
  <si>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</si>
  <si>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</si>
  <si>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</si>
  <si>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</si>
  <si>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</si>
  <si>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</si>
  <si>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</si>
  <si>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</si>
  <si>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</si>
  <si>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</si>
  <si>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</si>
  <si>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</si>
  <si>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</si>
  <si>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</si>
  <si>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</si>
  <si>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</si>
  <si>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</si>
  <si>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</si>
  <si>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</si>
  <si>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</si>
  <si>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</si>
  <si>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</si>
  <si>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</si>
  <si>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</si>
  <si>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</si>
  <si>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</si>
  <si>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</si>
  <si>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</si>
  <si>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</si>
  <si>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</si>
  <si>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</si>
  <si>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</si>
  <si>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</si>
  <si>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</si>
  <si>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</si>
  <si>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</si>
  <si>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</si>
  <si>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</si>
  <si>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</si>
  <si>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</si>
  <si>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</si>
  <si>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</si>
  <si>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</si>
  <si>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</si>
  <si>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</si>
  <si>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</si>
  <si>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</si>
  <si>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</si>
  <si>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</si>
  <si>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</si>
  <si>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</si>
  <si>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</si>
  <si>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</si>
  <si>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</si>
  <si>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</si>
  <si>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</si>
  <si>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</si>
  <si>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</si>
  <si>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</si>
  <si>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</si>
  <si>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</si>
  <si>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</si>
  <si>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</si>
  <si>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</si>
  <si>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</si>
  <si>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</si>
  <si>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</si>
  <si>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</si>
  <si>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</si>
  <si>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</si>
  <si>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</si>
  <si>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</si>
  <si>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</si>
  <si>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</si>
  <si>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</si>
  <si>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</si>
  <si>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</si>
  <si>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</si>
  <si>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</si>
  <si>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</si>
  <si>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</si>
  <si>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</si>
  <si>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</si>
  <si>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</si>
  <si>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</si>
  <si>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</si>
  <si>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</si>
  <si>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</si>
  <si>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</si>
  <si>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</si>
  <si>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</si>
  <si>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</si>
  <si>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</si>
  <si>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</si>
  <si>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</si>
  <si>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</si>
  <si>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</si>
  <si>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</si>
  <si>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</si>
  <si>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</si>
  <si>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</si>
  <si>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</si>
  <si>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</si>
  <si>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</si>
  <si>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</si>
  <si>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</si>
  <si>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</si>
  <si>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</si>
  <si>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</si>
  <si>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</si>
  <si>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</si>
  <si>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</si>
  <si>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</si>
  <si>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</si>
  <si>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</si>
  <si>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</si>
  <si>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</si>
  <si>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</si>
  <si>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</si>
  <si>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</si>
  <si>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</si>
  <si>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</si>
  <si>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</si>
  <si>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</si>
  <si>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</si>
  <si>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</si>
  <si>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</si>
  <si>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</si>
  <si>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</si>
  <si>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</si>
  <si>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</si>
  <si>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</si>
  <si>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</si>
  <si>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</si>
  <si>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</si>
  <si>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</si>
  <si>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</si>
  <si>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</si>
  <si>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</si>
  <si>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</si>
  <si>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</si>
  <si>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</si>
  <si>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</si>
  <si>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</si>
  <si>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</si>
  <si>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</si>
  <si>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</si>
  <si>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</si>
  <si>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</si>
  <si>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</si>
  <si>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</si>
  <si>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</si>
  <si>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</si>
  <si>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</si>
  <si>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</si>
  <si>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</si>
  <si>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</si>
  <si>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</si>
  <si>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</si>
  <si>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</si>
  <si>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</si>
  <si>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</si>
  <si>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</si>
  <si>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</si>
  <si>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</si>
  <si>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</si>
  <si>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</si>
  <si>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</si>
  <si>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</si>
  <si>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</si>
  <si>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</si>
  <si>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</si>
  <si>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</si>
  <si>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</si>
  <si>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</si>
  <si>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</si>
  <si>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</si>
  <si>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</si>
  <si>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</si>
  <si>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</si>
  <si>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</si>
  <si>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</si>
  <si>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</si>
  <si>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</si>
  <si>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</si>
  <si>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</si>
  <si>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</si>
  <si>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</si>
  <si>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</si>
  <si>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</si>
  <si>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</si>
  <si>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</si>
  <si>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</si>
  <si>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</si>
  <si>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</si>
  <si>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</si>
  <si>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</si>
  <si>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</si>
  <si>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</si>
  <si>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</si>
  <si>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</si>
  <si>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</si>
  <si>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</si>
  <si>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</si>
  <si>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</si>
  <si>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</si>
  <si>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</si>
  <si>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</si>
  <si>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</si>
  <si>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</si>
  <si>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</si>
  <si>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</si>
  <si>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</si>
  <si>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</si>
  <si>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</si>
  <si>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</si>
  <si>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</si>
  <si>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</si>
  <si>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</si>
  <si>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</si>
  <si>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</si>
  <si>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</si>
  <si>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</si>
  <si>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</si>
  <si>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</si>
  <si>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</si>
  <si>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</si>
  <si>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</si>
  <si>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</si>
  <si>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</si>
  <si>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</si>
  <si>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</si>
  <si>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</si>
  <si>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</si>
  <si>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</si>
  <si>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</si>
  <si>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</si>
  <si>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</si>
  <si>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</si>
  <si>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</si>
  <si>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</si>
  <si>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</si>
  <si>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</si>
  <si>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</si>
  <si>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</si>
  <si>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</si>
  <si>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</si>
  <si>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</si>
  <si>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</si>
  <si>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</si>
  <si>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</si>
  <si>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</si>
  <si>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</si>
  <si>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</si>
  <si>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</si>
  <si>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</si>
  <si>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</si>
  <si>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</si>
  <si>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</si>
  <si>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</si>
  <si>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</si>
  <si>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</si>
  <si>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</si>
  <si>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</si>
  <si>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</si>
  <si>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</si>
  <si>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</si>
  <si>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</si>
  <si>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</si>
  <si>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</si>
  <si>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</si>
  <si>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</si>
  <si>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</si>
  <si>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</si>
  <si>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</si>
  <si>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</si>
  <si>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</si>
  <si>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</si>
  <si>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</si>
  <si>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</si>
  <si>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</si>
  <si>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</si>
  <si>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</si>
  <si>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</si>
  <si>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</si>
  <si>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</si>
  <si>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</si>
  <si>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</si>
  <si>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</si>
  <si>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</si>
  <si>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</si>
  <si>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</si>
  <si>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</si>
  <si>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</si>
  <si>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</si>
  <si>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</si>
  <si>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</si>
  <si>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</si>
  <si>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</si>
  <si>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</si>
  <si>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</si>
  <si>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</si>
  <si>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</si>
  <si>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</si>
  <si>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</si>
  <si>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</si>
  <si>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</si>
  <si>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</si>
  <si>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</si>
  <si>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</si>
  <si>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</si>
  <si>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</si>
  <si>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</si>
  <si>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</si>
  <si>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</si>
  <si>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</si>
  <si>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</si>
  <si>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</si>
  <si>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</si>
  <si>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</si>
  <si>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</si>
  <si>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</si>
  <si>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</si>
  <si>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</si>
  <si>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</si>
  <si>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</si>
  <si>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</si>
  <si>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</si>
  <si>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</si>
  <si>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</si>
  <si>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</si>
  <si>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</si>
  <si>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</si>
  <si>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</si>
  <si>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</si>
  <si>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</si>
  <si>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</si>
  <si>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</si>
  <si>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</si>
  <si>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</si>
  <si>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</si>
  <si>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</si>
  <si>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</si>
  <si>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</si>
  <si>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</si>
  <si>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</si>
  <si>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</si>
  <si>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</si>
  <si>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</si>
  <si>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</si>
  <si>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</si>
  <si>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</si>
  <si>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</si>
  <si>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</si>
  <si>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</si>
  <si>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</si>
  <si>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</si>
  <si>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</si>
  <si>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</si>
  <si>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</si>
  <si>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</si>
  <si>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</si>
  <si>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</si>
  <si>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</si>
  <si>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</si>
  <si>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</si>
  <si>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</si>
  <si>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</si>
  <si>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</si>
  <si>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</si>
  <si>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</si>
  <si>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</si>
  <si>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</si>
  <si>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</si>
  <si>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</si>
  <si>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</si>
  <si>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</si>
  <si>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</si>
  <si>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</si>
  <si>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</si>
  <si>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</si>
  <si>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</si>
  <si>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</si>
  <si>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</si>
  <si>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</si>
  <si>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</si>
  <si>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</si>
  <si>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</si>
  <si>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</si>
  <si>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</si>
  <si>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</si>
  <si>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</si>
  <si>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</si>
  <si>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</si>
  <si>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</si>
  <si>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</si>
  <si>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</si>
  <si>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</si>
  <si>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</si>
  <si>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</si>
  <si>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</si>
  <si>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</si>
  <si>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</si>
  <si>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</si>
  <si>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</si>
  <si>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</si>
  <si>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</si>
  <si>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</si>
  <si>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</si>
  <si>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</si>
  <si>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</si>
  <si>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</si>
  <si>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</si>
  <si>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</si>
  <si>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</si>
  <si>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</si>
  <si>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</si>
  <si>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</si>
  <si>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</si>
  <si>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</si>
  <si>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</si>
  <si>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</si>
  <si>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</si>
  <si>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</si>
  <si>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</si>
  <si>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</si>
  <si>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</si>
  <si>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</si>
  <si>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</si>
  <si>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</si>
  <si>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</si>
  <si>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</si>
  <si>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</si>
  <si>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</si>
  <si>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</si>
  <si>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</si>
  <si>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</si>
  <si>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</si>
  <si>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</si>
  <si>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</si>
  <si>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</si>
  <si>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</si>
  <si>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</si>
  <si>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</si>
  <si>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</si>
  <si>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</si>
  <si>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</si>
  <si>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</si>
  <si>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</si>
  <si>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</si>
  <si>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</si>
  <si>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</si>
  <si>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</si>
  <si>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</si>
  <si>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</si>
  <si>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</si>
  <si>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</si>
  <si>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</si>
  <si>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</si>
  <si>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</si>
  <si>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</si>
  <si>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</si>
  <si>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</si>
  <si>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</si>
  <si>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</si>
  <si>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</si>
  <si>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</si>
  <si>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</si>
  <si>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</si>
  <si>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</si>
  <si>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</si>
  <si>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</si>
  <si>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</si>
  <si>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</si>
  <si>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</si>
  <si>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</si>
  <si>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</si>
  <si>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</si>
  <si>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</si>
  <si>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</si>
  <si>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</si>
  <si>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</si>
  <si>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</si>
  <si>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</si>
  <si>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</si>
  <si>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</si>
  <si>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</si>
  <si>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</si>
  <si>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</si>
  <si>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</si>
  <si>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</si>
  <si>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</si>
  <si>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</si>
  <si>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</si>
  <si>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</si>
  <si>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</si>
  <si>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</si>
  <si>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</si>
  <si>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</si>
  <si>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</si>
  <si>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</si>
  <si>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</si>
  <si>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</si>
  <si>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</si>
  <si>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</si>
  <si>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</si>
  <si>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</si>
  <si>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</si>
  <si>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</si>
  <si>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</si>
  <si>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</si>
  <si>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</si>
  <si>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</si>
  <si>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</si>
  <si>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</si>
  <si>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</si>
  <si>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</si>
  <si>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</si>
  <si>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</si>
  <si>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</si>
  <si>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</si>
  <si>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</si>
  <si>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</si>
  <si>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</si>
  <si>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</si>
  <si>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</si>
  <si>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</si>
  <si>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</si>
  <si>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</si>
  <si>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</si>
  <si>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</si>
  <si>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</si>
  <si>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</si>
  <si>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</si>
  <si>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</si>
  <si>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</si>
  <si>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</si>
  <si>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</si>
  <si>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</si>
  <si>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</si>
  <si>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</si>
  <si>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</si>
  <si>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</si>
  <si>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</si>
  <si>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</si>
  <si>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</si>
  <si>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</si>
  <si>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</si>
  <si>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</si>
  <si>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</si>
  <si>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</si>
  <si>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</si>
  <si>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</si>
  <si>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</si>
  <si>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</si>
  <si>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</si>
  <si>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</si>
  <si>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</si>
  <si>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</si>
  <si>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</si>
  <si>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</si>
  <si>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</si>
  <si>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</si>
  <si>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</si>
  <si>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</si>
  <si>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</si>
  <si>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</si>
  <si>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</si>
  <si>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</si>
  <si>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</si>
  <si>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</si>
  <si>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</si>
  <si>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</si>
  <si>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</si>
  <si>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</si>
  <si>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</si>
  <si>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</si>
  <si>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</si>
  <si>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</si>
  <si>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</si>
  <si>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</si>
  <si>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</si>
  <si>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</si>
  <si>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</si>
  <si>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</si>
  <si>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</si>
  <si>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</si>
  <si>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</si>
  <si>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</si>
  <si>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</si>
  <si>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</si>
  <si>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</si>
  <si>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</si>
  <si>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</si>
  <si>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</si>
  <si>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</si>
  <si>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</si>
  <si>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</si>
  <si>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</si>
  <si>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</si>
  <si>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</si>
  <si>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</si>
  <si>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</si>
  <si>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</si>
  <si>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</si>
  <si>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</si>
  <si>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</si>
  <si>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</si>
  <si>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</si>
  <si>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</si>
  <si>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</si>
  <si>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</si>
  <si>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</si>
  <si>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</si>
  <si>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</si>
  <si>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</si>
  <si>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</si>
  <si>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</si>
  <si>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</si>
  <si>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</si>
  <si>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</si>
  <si>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</si>
  <si>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</si>
  <si>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</si>
  <si>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</si>
  <si>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</si>
  <si>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</si>
  <si>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</si>
  <si>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</si>
  <si>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</si>
  <si>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</si>
  <si>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</si>
  <si>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</si>
  <si>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</si>
  <si>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</si>
  <si>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</si>
  <si>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</si>
  <si>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</si>
  <si>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</si>
  <si>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</si>
  <si>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</si>
  <si>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</si>
  <si>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</si>
  <si>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</si>
  <si>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</si>
  <si>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</si>
  <si>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</si>
  <si>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</si>
  <si>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</si>
  <si>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</si>
  <si>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</si>
  <si>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</si>
  <si>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</si>
  <si>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</si>
  <si>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</si>
  <si>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</si>
  <si>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</si>
  <si>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</si>
  <si>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</si>
  <si>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</si>
  <si>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</si>
  <si>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</si>
  <si>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</si>
  <si>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</si>
  <si>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</si>
  <si>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</si>
  <si>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</si>
  <si>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</si>
  <si>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</si>
  <si>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</si>
  <si>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</si>
  <si>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</si>
  <si>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</si>
  <si>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</si>
  <si>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</si>
  <si>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</si>
  <si>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</si>
  <si>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</si>
  <si>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</si>
  <si>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</si>
  <si>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</si>
  <si>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</si>
  <si>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</si>
  <si>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</si>
  <si>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</si>
  <si>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</si>
  <si>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</si>
  <si>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</si>
  <si>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</si>
  <si>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</si>
  <si>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</si>
  <si>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</si>
  <si>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</si>
  <si>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</si>
  <si>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</si>
  <si>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</si>
  <si>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</si>
  <si>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</si>
  <si>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</si>
  <si>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</si>
  <si>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</si>
  <si>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</si>
  <si>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</si>
  <si>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</si>
  <si>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</si>
  <si>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</si>
  <si>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</si>
  <si>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</si>
  <si>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</si>
  <si>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</si>
  <si>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</si>
  <si>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</si>
  <si>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</si>
  <si>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</si>
  <si>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</si>
  <si>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</si>
  <si>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</si>
  <si>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</si>
  <si>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</si>
  <si>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</si>
  <si>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</si>
  <si>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</si>
  <si>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</si>
  <si>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</si>
  <si>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</si>
  <si>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</si>
  <si>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</si>
  <si>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</si>
  <si>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</si>
  <si>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</si>
  <si>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</si>
  <si>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</si>
  <si>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</si>
  <si>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</si>
  <si>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</si>
  <si>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</si>
  <si>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</si>
  <si>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</si>
  <si>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</si>
  <si>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</si>
  <si>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</si>
  <si>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</si>
  <si>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</si>
  <si>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</si>
  <si>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</si>
  <si>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</si>
  <si>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</si>
  <si>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</si>
  <si>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</si>
  <si>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</si>
  <si>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</si>
  <si>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</si>
  <si>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</si>
  <si>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</si>
  <si>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</si>
  <si>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</si>
  <si>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</si>
  <si>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</si>
  <si>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</si>
  <si>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</si>
  <si>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</si>
  <si>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</si>
  <si>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</si>
  <si>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</si>
  <si>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</si>
  <si>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</si>
  <si>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</si>
  <si>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</si>
  <si>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</si>
  <si>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</si>
  <si>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</si>
  <si>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</si>
  <si>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</si>
  <si>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</si>
  <si>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</si>
  <si>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</si>
  <si>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</si>
  <si>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</si>
  <si>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</si>
  <si>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</si>
  <si>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</si>
  <si>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</si>
  <si>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</si>
  <si>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</si>
  <si>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</si>
  <si>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</si>
  <si>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</si>
  <si>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</si>
  <si>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</si>
  <si>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</si>
  <si>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</si>
  <si>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</si>
  <si>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</si>
  <si>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</si>
  <si>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</si>
  <si>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</si>
  <si>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</si>
  <si>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</si>
  <si>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</si>
  <si>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</si>
  <si>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</si>
  <si>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</si>
  <si>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</si>
  <si>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</si>
  <si>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</si>
  <si>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</si>
  <si>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</si>
  <si>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</si>
  <si>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</si>
  <si>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</si>
  <si>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</si>
  <si>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</si>
  <si>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</si>
  <si>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</si>
  <si>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</si>
  <si>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</si>
  <si>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</si>
  <si>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</si>
  <si>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</si>
  <si>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</si>
  <si>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</si>
  <si>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</si>
  <si>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</si>
  <si>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</si>
  <si>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</si>
  <si>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</si>
  <si>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</si>
  <si>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</si>
  <si>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</si>
  <si>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</si>
  <si>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</si>
  <si>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</si>
  <si>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</si>
  <si>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</si>
  <si>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</si>
  <si>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</si>
  <si>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</si>
  <si>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</si>
  <si>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</si>
  <si>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</si>
  <si>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</si>
  <si>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</si>
  <si>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</si>
  <si>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</si>
  <si>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</si>
  <si>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</si>
  <si>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</si>
  <si>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</si>
  <si>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</si>
  <si>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</si>
  <si>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</si>
  <si>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</si>
  <si>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</si>
  <si>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</si>
  <si>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</si>
  <si>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</si>
  <si>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</si>
  <si>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</si>
  <si>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</si>
  <si>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</si>
  <si>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</si>
  <si>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</si>
  <si>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</si>
  <si>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</si>
  <si>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</si>
  <si>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</si>
  <si>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</si>
  <si>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</si>
  <si>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</si>
  <si>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</si>
  <si>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</si>
  <si>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</si>
  <si>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</si>
  <si>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</si>
  <si>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</si>
  <si>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</si>
  <si>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</si>
  <si>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</si>
  <si>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</si>
  <si>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</si>
  <si>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</si>
  <si>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</si>
  <si>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</si>
  <si>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</si>
  <si>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</si>
  <si>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</si>
  <si>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</si>
  <si>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</si>
  <si>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</si>
  <si>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</si>
  <si>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</si>
  <si>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</si>
  <si>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</si>
  <si>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</si>
  <si>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</si>
  <si>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</si>
  <si>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</si>
  <si>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</si>
  <si>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</si>
  <si>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</si>
  <si>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</si>
  <si>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</si>
  <si>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</si>
  <si>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</si>
  <si>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</si>
  <si>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</si>
  <si>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</si>
  <si>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</si>
  <si>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</si>
  <si>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</si>
  <si>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</si>
  <si>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</si>
  <si>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</si>
  <si>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</si>
  <si>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</si>
  <si>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</si>
  <si>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</si>
  <si>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</si>
  <si>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</si>
  <si>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</si>
  <si>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</si>
  <si>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</si>
  <si>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</si>
  <si>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</si>
  <si>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</si>
  <si>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</si>
  <si>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</si>
  <si>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</si>
  <si>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</si>
  <si>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</si>
  <si>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</si>
  <si>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</si>
  <si>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</si>
  <si>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</si>
  <si>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</si>
  <si>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</si>
  <si>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</si>
  <si>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</si>
  <si>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</si>
  <si>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</si>
  <si>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</si>
  <si>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</si>
  <si>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</si>
  <si>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</si>
  <si>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</si>
  <si>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</si>
  <si>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</si>
  <si>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</si>
  <si>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</si>
  <si>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</si>
  <si>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</si>
  <si>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</si>
  <si>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</si>
  <si>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</si>
  <si>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</si>
  <si>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</si>
  <si>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</si>
  <si>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</si>
  <si>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</si>
  <si>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</si>
  <si>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</si>
  <si>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</si>
  <si>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</si>
  <si>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</si>
  <si>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</si>
  <si>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</si>
  <si>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</si>
  <si>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</si>
  <si>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</si>
  <si>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</si>
  <si>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</si>
  <si>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</si>
  <si>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</si>
  <si>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</si>
  <si>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</si>
  <si>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</si>
  <si>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</si>
  <si>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</si>
  <si>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</si>
  <si>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</si>
  <si>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</si>
  <si>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</si>
  <si>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</si>
  <si>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</si>
  <si>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</si>
  <si>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</si>
  <si>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</si>
  <si>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</si>
  <si>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</si>
  <si>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</si>
  <si>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</si>
  <si>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</si>
  <si>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</si>
  <si>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</si>
  <si>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</si>
  <si>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</si>
  <si>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</si>
  <si>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</si>
  <si>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</si>
  <si>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</si>
  <si>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</si>
  <si>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</si>
  <si>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</si>
  <si>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</si>
  <si>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</si>
  <si>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</si>
  <si>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</si>
  <si>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</si>
  <si>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</si>
  <si>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</si>
  <si>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</si>
  <si>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</si>
  <si>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</si>
  <si>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</si>
  <si>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</si>
  <si>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</si>
  <si>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</si>
  <si>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</si>
  <si>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</si>
  <si>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</si>
  <si>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</si>
  <si>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</si>
  <si>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</si>
  <si>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</si>
  <si>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</si>
  <si>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</si>
  <si>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</si>
  <si>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</si>
  <si>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</si>
  <si>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</si>
  <si>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</si>
  <si>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</si>
  <si>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</si>
  <si>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</si>
  <si>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</si>
  <si>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</si>
  <si>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</si>
  <si>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</si>
  <si>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</si>
  <si>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</si>
  <si>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</si>
  <si>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</si>
  <si>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</si>
  <si>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</si>
  <si>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</si>
  <si>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</si>
  <si>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</si>
  <si>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</si>
  <si>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</si>
  <si>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</si>
  <si>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</si>
  <si>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</si>
  <si>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</si>
  <si>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</si>
  <si>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</si>
  <si>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</si>
  <si>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</si>
  <si>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</si>
  <si>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</si>
  <si>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</si>
  <si>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</si>
  <si>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</si>
  <si>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</si>
  <si>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</si>
  <si>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</si>
  <si>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</si>
  <si>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</si>
  <si>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</si>
  <si>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</si>
  <si>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</si>
  <si>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</si>
  <si>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2292 SVEUČILIŠTE J.J STROSSMAYERA U OSIJEKU - PRAVNI FAKULTET</t>
  </si>
  <si>
    <t>Facilitating cross-border family life: towards a common European understanding — EUFams II</t>
  </si>
  <si>
    <t>1.9.2018.</t>
  </si>
  <si>
    <t>31.8.2020.</t>
  </si>
  <si>
    <t>nositelj Ruprecht-Karls-Universitat Heidelberg, iz European union Justice program</t>
  </si>
  <si>
    <t>Protection of abducting mothers in Return Proceedings: Intersection between Domestic Violence and Parental Child Abduction, nositelj University of Aberdeen UK, grant agreement 810373-POAM</t>
  </si>
  <si>
    <t>1.1.2019.</t>
  </si>
  <si>
    <t>31.12.2020.</t>
  </si>
  <si>
    <t>University of Aberdeen UK, grant agreement 810373</t>
  </si>
  <si>
    <t>PROVIDENTIA STUDIORUM IURIS - Unaprjeđenje kvalitete studiranja na pravnim fakultetima u Hrvatskoj</t>
  </si>
  <si>
    <t>Operativni program "Učinkoviti ljudski potencijali" 2014-2020 (Poziv: UP.03.1.1.03. Provedba HKO-a na razini visokog obrazovanja)</t>
  </si>
  <si>
    <t>27.3.2019.</t>
  </si>
  <si>
    <t>26.3.2022.</t>
  </si>
  <si>
    <t>Nositelj Pravni fakultet Rijeka</t>
  </si>
  <si>
    <t>Projekt razvoja karijere mladih istraživača - izobrazba novih doktora znanosti</t>
  </si>
  <si>
    <t>31.8.2022.</t>
  </si>
  <si>
    <t>Hrvatska zaklada za znanost</t>
  </si>
  <si>
    <t>Zapošljavanje i izobrazba doktoranda Martina Drventić</t>
  </si>
  <si>
    <t>Osijek, 20. rujna 2019.</t>
  </si>
  <si>
    <t>Ivančica Tubić, voditeljica računovodstva</t>
  </si>
  <si>
    <t>031-224-532</t>
  </si>
  <si>
    <t>ivancica@pravos.hr</t>
  </si>
  <si>
    <t xml:space="preserve">Doprinos i dosljednoj primjeni Uredbe Vijeća (EZ) br. 2201/2003, Uredbe Vijeća (EZ) br. 1259/2010, Uredbe Vijeća (EZ) br. 4/2009, Haškog protokola iz 2007. godine, Haške konvencije o uzdržavanju iz 2007. godine te Uredbe Vijeća (EZ) br. 650/2012.                                                              Europski sustav međunarodnog privatnog prava u obiteljskim stvarima proširio je  djelokrug s razvoda (Uredbe Vijeća (EZ) br. 2201/2003 i 1259/2010) na financijske aspekte obiteljskog života (Uredba o uzdržavanju, Haški protokol iz 2007. godine, Haška konvencija o uzdržavanju iz 2007. godine) te  nasljeđivanje (Uredba o nasljeđivanju).Svrha je Projekta utvrditi s kojim se poteškoćama u primjeni ovih uredaba i konvencija susreću različiti dionici (od pravosuđa, odvjetništva, centara za socijalnu skrb, posebnih skrbnika za djecu, središnjih tijela te samih građana). Projektom se ujedno smjera provesti i procjenjivanje prihvaćenih rješenja, uspostavljanje dijaloga između onih koji primjenjuju propise kao i identificiranje najbolje ujednačene prakse. Konačno, svrha Projekta je predlaganje modela alata koji će biti dostupni sudovima i odvjetnicima, kao i krajnjim korisnicima, te oblikovanje smjernica za buduće propise odnosno za izmjenu postojećih propisa te njihovo upućivanje europskom zakonodavcu, a sve s ciljem poduzimanja daljnjih koraka u smjeru otklanjanja trenutnih prepreka slobodnom kretanju osoba. </t>
  </si>
  <si>
    <r>
      <t xml:space="preserve">Projekt istražuje sjecište između obiteljskog nasilja i međunarodne roditeljske otmice djece u Europskoj uniji. Posebno se usredotočuje na djelovanje Uredbe 606/2013 („Uredba o mjerama zaštite“) i Direktive 2011/99 / EU („Direktiva Europske narudžbe za zaštitu”) u kontekstu postupaka povrata koji uključuju navode o obiteljskom nasilju, prema Haškoj konvenciji iz 1980. o građanskim aspektima međunarodne otmice djece i Uredbi Vijeća (EZ) br. 2201/2003 od 27. studenoga 2003. („Bruxelles IIa“).
</t>
    </r>
    <r>
      <rPr>
        <u/>
        <sz val="9"/>
        <color rgb="FF333333"/>
        <rFont val="Calibri"/>
        <family val="2"/>
        <charset val="238"/>
        <scheme val="minor"/>
      </rPr>
      <t xml:space="preserve">Ciljevi: </t>
    </r>
    <r>
      <rPr>
        <sz val="9"/>
        <color rgb="FF333333"/>
        <rFont val="Calibri"/>
        <family val="2"/>
        <charset val="238"/>
        <scheme val="minor"/>
      </rPr>
      <t xml:space="preserve">Razviti dobru praksu i osigurati da se relevantni stručnjaci osposobljavaju za primjenu Uredbe o mjerama zaštite i Direktive o europskoj zapovijedi za zaštitu u pogledu otmica djece počinjene u kontekstu nasilja u obitelji.                                                                                                                                       </t>
    </r>
    <r>
      <rPr>
        <u/>
        <sz val="9"/>
        <color rgb="FF333333"/>
        <rFont val="Calibri"/>
        <family val="2"/>
        <charset val="238"/>
        <scheme val="minor"/>
      </rPr>
      <t xml:space="preserve">Očekivani rezultati: </t>
    </r>
    <r>
      <rPr>
        <sz val="9"/>
        <color rgb="FF333333"/>
        <rFont val="Calibri"/>
        <family val="2"/>
        <charset val="238"/>
        <scheme val="minor"/>
      </rPr>
      <t>Povećana svijest i bolje poznavanje Uredbe o mjerama zaštite i Direktive o europskoj zapovijedi za zaštitu među relevantnim stručnjacima u posebnom kontekstu postupaka za povratak prema Konvenciji o haškoj otmici iz 1980. i Briselu IIa.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</si>
</sst>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7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  <font>
      <b/>
      <sz val="8"/>
      <color indexed="8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9"/>
      <color rgb="FF333333"/>
      <name val="Calibri"/>
      <family val="2"/>
      <charset val="238"/>
      <scheme val="minor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b/>
      <sz val="10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0"/>
      <color indexed="10"/>
      <name val="Arial"/>
      <family val="2"/>
    </font>
    <font>
      <u/>
      <sz val="9"/>
      <color rgb="FF333333"/>
      <name val="Calibri"/>
      <family val="2"/>
      <charset val="238"/>
      <scheme val="minor"/>
    </font>
  </fonts>
  <fills count="6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</patternFill>
    </fill>
    <fill>
      <patternFill patternType="solid">
        <fgColor indexed="4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1"/>
        <bgColor indexed="64"/>
      </patternFill>
    </fill>
  </fills>
  <borders count="52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</borders>
  <cellStyleXfs count="114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  <xf numFmtId="4" fontId="69" fillId="4" borderId="38" applyNumberFormat="0" applyProtection="0">
      <alignment vertical="center"/>
    </xf>
    <xf numFmtId="4" fontId="70" fillId="6" borderId="38" applyNumberFormat="0" applyProtection="0">
      <alignment vertical="center"/>
    </xf>
    <xf numFmtId="4" fontId="69" fillId="6" borderId="38" applyNumberFormat="0" applyProtection="0">
      <alignment horizontal="left" vertical="center" indent="1"/>
    </xf>
    <xf numFmtId="0" fontId="69" fillId="6" borderId="38" applyNumberFormat="0" applyProtection="0">
      <alignment horizontal="left" vertical="top" indent="1"/>
    </xf>
    <xf numFmtId="4" fontId="69" fillId="57" borderId="0" applyNumberFormat="0" applyProtection="0">
      <alignment horizontal="left" vertical="center" indent="1"/>
    </xf>
    <xf numFmtId="4" fontId="71" fillId="42" borderId="38" applyNumberFormat="0" applyProtection="0">
      <alignment horizontal="right" vertical="center"/>
    </xf>
    <xf numFmtId="4" fontId="71" fillId="56" borderId="38" applyNumberFormat="0" applyProtection="0">
      <alignment horizontal="right" vertical="center"/>
    </xf>
    <xf numFmtId="4" fontId="71" fillId="44" borderId="38" applyNumberFormat="0" applyProtection="0">
      <alignment horizontal="right" vertical="center"/>
    </xf>
    <xf numFmtId="4" fontId="71" fillId="24" borderId="38" applyNumberFormat="0" applyProtection="0">
      <alignment horizontal="right" vertical="center"/>
    </xf>
    <xf numFmtId="4" fontId="71" fillId="45" borderId="38" applyNumberFormat="0" applyProtection="0">
      <alignment horizontal="right" vertical="center"/>
    </xf>
    <xf numFmtId="4" fontId="71" fillId="46" borderId="38" applyNumberFormat="0" applyProtection="0">
      <alignment horizontal="right" vertical="center"/>
    </xf>
    <xf numFmtId="4" fontId="71" fillId="23" borderId="38" applyNumberFormat="0" applyProtection="0">
      <alignment horizontal="right" vertical="center"/>
    </xf>
    <xf numFmtId="4" fontId="71" fillId="22" borderId="38" applyNumberFormat="0" applyProtection="0">
      <alignment horizontal="right" vertical="center"/>
    </xf>
    <xf numFmtId="4" fontId="71" fillId="47" borderId="38" applyNumberFormat="0" applyProtection="0">
      <alignment horizontal="right" vertical="center"/>
    </xf>
    <xf numFmtId="4" fontId="69" fillId="48" borderId="51" applyNumberFormat="0" applyProtection="0">
      <alignment horizontal="left" vertical="center" indent="1"/>
    </xf>
    <xf numFmtId="4" fontId="71" fillId="9" borderId="0" applyNumberFormat="0" applyProtection="0">
      <alignment horizontal="left" vertical="center" indent="1"/>
    </xf>
    <xf numFmtId="4" fontId="72" fillId="58" borderId="0" applyNumberFormat="0" applyProtection="0">
      <alignment horizontal="left" vertical="center" indent="1"/>
    </xf>
    <xf numFmtId="4" fontId="69" fillId="7" borderId="38" applyNumberFormat="0" applyProtection="0">
      <alignment horizontal="center" vertical="top"/>
    </xf>
    <xf numFmtId="4" fontId="17" fillId="9" borderId="0" applyNumberFormat="0" applyProtection="0">
      <alignment horizontal="left" vertical="center" indent="1"/>
    </xf>
    <xf numFmtId="4" fontId="17" fillId="57" borderId="0" applyNumberFormat="0" applyProtection="0">
      <alignment horizontal="left" vertical="center" indent="1"/>
    </xf>
    <xf numFmtId="0" fontId="73" fillId="58" borderId="38" applyNumberFormat="0" applyProtection="0">
      <alignment horizontal="left" vertical="center" indent="1"/>
    </xf>
    <xf numFmtId="0" fontId="22" fillId="58" borderId="38" applyNumberFormat="0" applyProtection="0">
      <alignment horizontal="left" vertical="top" indent="1"/>
    </xf>
    <xf numFmtId="0" fontId="73" fillId="57" borderId="38" applyNumberFormat="0" applyProtection="0">
      <alignment horizontal="left" vertical="center" indent="1"/>
    </xf>
    <xf numFmtId="0" fontId="22" fillId="57" borderId="38" applyNumberFormat="0" applyProtection="0">
      <alignment horizontal="left" vertical="top" indent="1"/>
    </xf>
    <xf numFmtId="0" fontId="73" fillId="20" borderId="38" applyNumberFormat="0" applyProtection="0">
      <alignment horizontal="left" vertical="center" indent="1"/>
    </xf>
    <xf numFmtId="0" fontId="22" fillId="20" borderId="38" applyNumberFormat="0" applyProtection="0">
      <alignment horizontal="left" vertical="top" indent="1"/>
    </xf>
    <xf numFmtId="0" fontId="24" fillId="59" borderId="38" applyNumberFormat="0" applyProtection="0">
      <alignment horizontal="left" vertical="center" indent="1"/>
    </xf>
    <xf numFmtId="0" fontId="22" fillId="59" borderId="38" applyNumberFormat="0" applyProtection="0">
      <alignment horizontal="left" vertical="top" indent="1"/>
    </xf>
    <xf numFmtId="0" fontId="22" fillId="0" borderId="0"/>
    <xf numFmtId="4" fontId="71" fillId="13" borderId="38" applyNumberFormat="0" applyProtection="0">
      <alignment vertical="center"/>
    </xf>
    <xf numFmtId="4" fontId="74" fillId="13" borderId="38" applyNumberFormat="0" applyProtection="0">
      <alignment vertical="center"/>
    </xf>
    <xf numFmtId="4" fontId="71" fillId="13" borderId="38" applyNumberFormat="0" applyProtection="0">
      <alignment horizontal="left" vertical="center" indent="1"/>
    </xf>
    <xf numFmtId="0" fontId="71" fillId="13" borderId="38" applyNumberFormat="0" applyProtection="0">
      <alignment horizontal="left" vertical="top" indent="1"/>
    </xf>
    <xf numFmtId="4" fontId="71" fillId="9" borderId="38" applyNumberFormat="0" applyProtection="0">
      <alignment horizontal="right" vertical="center"/>
    </xf>
    <xf numFmtId="4" fontId="74" fillId="9" borderId="38" applyNumberFormat="0" applyProtection="0">
      <alignment horizontal="right" vertical="center"/>
    </xf>
    <xf numFmtId="4" fontId="71" fillId="7" borderId="38" applyNumberFormat="0" applyProtection="0">
      <alignment horizontal="left" vertical="center" indent="1"/>
    </xf>
    <xf numFmtId="0" fontId="69" fillId="57" borderId="38" applyNumberFormat="0" applyProtection="0">
      <alignment horizontal="center" vertical="top" wrapText="1"/>
    </xf>
    <xf numFmtId="4" fontId="75" fillId="51" borderId="0" applyNumberFormat="0" applyProtection="0">
      <alignment horizontal="left" vertical="center" indent="1"/>
    </xf>
    <xf numFmtId="4" fontId="76" fillId="9" borderId="38" applyNumberFormat="0" applyProtection="0">
      <alignment horizontal="right" vertical="center"/>
    </xf>
  </cellStyleXfs>
  <cellXfs count="29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6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7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7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7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6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7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7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8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169" fontId="13" fillId="9" borderId="1" xfId="16" quotePrefix="1" applyNumberFormat="1" applyAlignment="1" applyProtection="1">
      <alignment horizontal="left" vertical="center" indent="5" justifyLastLine="1"/>
      <protection locked="0"/>
    </xf>
    <xf numFmtId="169" fontId="13" fillId="0" borderId="1" xfId="16" quotePrefix="1" applyNumberFormat="1" applyFill="1" applyAlignment="1" applyProtection="1">
      <alignment horizontal="left" vertical="center" indent="5" justifyLastLine="1"/>
      <protection locked="0"/>
    </xf>
    <xf numFmtId="0" fontId="65" fillId="52" borderId="27" xfId="0" applyNumberFormat="1" applyFont="1" applyFill="1" applyBorder="1" applyAlignment="1" applyProtection="1">
      <alignment vertical="top" wrapText="1"/>
      <protection locked="0"/>
    </xf>
    <xf numFmtId="0" fontId="66" fillId="0" borderId="6" xfId="0" applyFont="1" applyBorder="1" applyAlignment="1" applyProtection="1">
      <alignment vertical="top" wrapText="1"/>
      <protection locked="0"/>
    </xf>
    <xf numFmtId="0" fontId="67" fillId="0" borderId="0" xfId="0" applyFont="1" applyAlignment="1" applyProtection="1">
      <alignment wrapText="1"/>
      <protection locked="0"/>
    </xf>
    <xf numFmtId="0" fontId="66" fillId="0" borderId="6" xfId="0" applyFont="1" applyFill="1" applyBorder="1" applyAlignment="1" applyProtection="1">
      <alignment horizontal="left" vertical="center" wrapText="1"/>
      <protection locked="0"/>
    </xf>
    <xf numFmtId="0" fontId="68" fillId="0" borderId="6" xfId="0" applyFont="1" applyBorder="1" applyAlignment="1" applyProtection="1">
      <alignment vertical="center" wrapText="1"/>
      <protection locked="0"/>
    </xf>
    <xf numFmtId="0" fontId="66" fillId="0" borderId="6" xfId="0" applyFont="1" applyFill="1" applyBorder="1" applyAlignment="1" applyProtection="1">
      <alignment horizontal="center" vertical="center" wrapText="1"/>
      <protection locked="0"/>
    </xf>
    <xf numFmtId="0" fontId="68" fillId="0" borderId="6" xfId="0" applyFont="1" applyBorder="1" applyAlignment="1" applyProtection="1">
      <alignment vertical="top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11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5"/>
    <cellStyle name="SAPBEXaggDataEmph" xfId="42"/>
    <cellStyle name="SAPBEXaggDataEmph 2" xfId="76"/>
    <cellStyle name="SAPBEXaggItem" xfId="10"/>
    <cellStyle name="SAPBEXaggItem 2" xfId="77"/>
    <cellStyle name="SAPBEXaggItemX" xfId="43"/>
    <cellStyle name="SAPBEXaggItemX 2" xfId="78"/>
    <cellStyle name="SAPBEXchaText" xfId="11"/>
    <cellStyle name="SAPBEXchaText 2" xfId="79"/>
    <cellStyle name="SAPBEXexcBad7" xfId="44"/>
    <cellStyle name="SAPBEXexcBad7 2" xfId="80"/>
    <cellStyle name="SAPBEXexcBad8" xfId="45"/>
    <cellStyle name="SAPBEXexcBad8 2" xfId="81"/>
    <cellStyle name="SAPBEXexcBad9" xfId="46"/>
    <cellStyle name="SAPBEXexcBad9 2" xfId="82"/>
    <cellStyle name="SAPBEXexcCritical4" xfId="47"/>
    <cellStyle name="SAPBEXexcCritical4 2" xfId="83"/>
    <cellStyle name="SAPBEXexcCritical5" xfId="48"/>
    <cellStyle name="SAPBEXexcCritical5 2" xfId="84"/>
    <cellStyle name="SAPBEXexcCritical6" xfId="49"/>
    <cellStyle name="SAPBEXexcCritical6 2" xfId="85"/>
    <cellStyle name="SAPBEXexcGood1" xfId="50"/>
    <cellStyle name="SAPBEXexcGood1 2" xfId="86"/>
    <cellStyle name="SAPBEXexcGood2" xfId="51"/>
    <cellStyle name="SAPBEXexcGood2 2" xfId="87"/>
    <cellStyle name="SAPBEXexcGood3" xfId="52"/>
    <cellStyle name="SAPBEXexcGood3 2" xfId="88"/>
    <cellStyle name="SAPBEXfilterDrill" xfId="53"/>
    <cellStyle name="SAPBEXfilterDrill 2" xfId="89"/>
    <cellStyle name="SAPBEXfilterItem" xfId="54"/>
    <cellStyle name="SAPBEXfilterItem 2" xfId="90"/>
    <cellStyle name="SAPBEXfilterText" xfId="55"/>
    <cellStyle name="SAPBEXfilterText 2" xfId="91"/>
    <cellStyle name="SAPBEXformats" xfId="12"/>
    <cellStyle name="SAPBEXformats 2" xfId="92"/>
    <cellStyle name="SAPBEXheaderItem" xfId="56"/>
    <cellStyle name="SAPBEXheaderItem 2" xfId="93"/>
    <cellStyle name="SAPBEXheaderText" xfId="57"/>
    <cellStyle name="SAPBEXheaderText 2" xfId="94"/>
    <cellStyle name="SAPBEXHLevel0" xfId="13"/>
    <cellStyle name="SAPBEXHLevel0 2" xfId="95"/>
    <cellStyle name="SAPBEXHLevel0X" xfId="58"/>
    <cellStyle name="SAPBEXHLevel0X 2" xfId="96"/>
    <cellStyle name="SAPBEXHLevel1" xfId="14"/>
    <cellStyle name="SAPBEXHLevel1 2" xfId="97"/>
    <cellStyle name="SAPBEXHLevel1X" xfId="59"/>
    <cellStyle name="SAPBEXHLevel1X 2" xfId="98"/>
    <cellStyle name="SAPBEXHLevel2" xfId="15"/>
    <cellStyle name="SAPBEXHLevel2 2" xfId="99"/>
    <cellStyle name="SAPBEXHLevel2X" xfId="60"/>
    <cellStyle name="SAPBEXHLevel2X 2" xfId="100"/>
    <cellStyle name="SAPBEXHLevel3" xfId="16"/>
    <cellStyle name="SAPBEXHLevel3 2" xfId="101"/>
    <cellStyle name="SAPBEXHLevel3X" xfId="61"/>
    <cellStyle name="SAPBEXHLevel3X 2" xfId="102"/>
    <cellStyle name="SAPBEXinputData" xfId="62"/>
    <cellStyle name="SAPBEXinputData 2" xfId="103"/>
    <cellStyle name="SAPBEXItemHeader" xfId="17"/>
    <cellStyle name="SAPBEXresData" xfId="63"/>
    <cellStyle name="SAPBEXresData 2" xfId="104"/>
    <cellStyle name="SAPBEXresDataEmph" xfId="64"/>
    <cellStyle name="SAPBEXresDataEmph 2" xfId="105"/>
    <cellStyle name="SAPBEXresItem" xfId="65"/>
    <cellStyle name="SAPBEXresItem 2" xfId="106"/>
    <cellStyle name="SAPBEXresItemX" xfId="66"/>
    <cellStyle name="SAPBEXresItemX 2" xfId="107"/>
    <cellStyle name="SAPBEXstdData" xfId="18"/>
    <cellStyle name="SAPBEXstdData 2" xfId="108"/>
    <cellStyle name="SAPBEXstdDataEmph" xfId="67"/>
    <cellStyle name="SAPBEXstdDataEmph 2" xfId="109"/>
    <cellStyle name="SAPBEXstdItem" xfId="19"/>
    <cellStyle name="SAPBEXstdItem 2" xfId="110"/>
    <cellStyle name="SAPBEXstdItemX" xfId="68"/>
    <cellStyle name="SAPBEXstdItemX 2" xfId="111"/>
    <cellStyle name="SAPBEXtitle" xfId="69"/>
    <cellStyle name="SAPBEXtitle 2" xfId="112"/>
    <cellStyle name="SAPBEXunassignedItem" xfId="70"/>
    <cellStyle name="SAPBEXundefined" xfId="71"/>
    <cellStyle name="SAPBEXundefined 2" xfId="113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7" sqref="C7:E7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64" t="s">
        <v>1665</v>
      </c>
      <c r="D3" s="265"/>
      <c r="E3" s="26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67" t="s">
        <v>1683</v>
      </c>
      <c r="D4" s="268"/>
      <c r="E4" s="269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67" t="s">
        <v>1684</v>
      </c>
      <c r="D5" s="268"/>
      <c r="E5" s="269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67" t="s">
        <v>1685</v>
      </c>
      <c r="D6" s="268"/>
      <c r="E6" s="269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67" t="s">
        <v>1686</v>
      </c>
      <c r="D7" s="268"/>
      <c r="E7" s="269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63" t="s">
        <v>842</v>
      </c>
      <c r="C9" s="262"/>
      <c r="D9" s="262"/>
      <c r="E9" s="262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63" t="s">
        <v>3</v>
      </c>
      <c r="C10" s="262"/>
      <c r="D10" s="262"/>
      <c r="E10" s="262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61"/>
      <c r="C11" s="262"/>
      <c r="D11" s="262"/>
      <c r="E11" s="262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31202148</v>
      </c>
      <c r="D14" s="173">
        <f>+D15+D16</f>
        <v>32756187</v>
      </c>
      <c r="E14" s="173">
        <f>+E15+E16</f>
        <v>32915167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31199148</v>
      </c>
      <c r="D15" s="176">
        <f>'PLAN PRIHODA I PRIMITAKA '!C62</f>
        <v>32753187</v>
      </c>
      <c r="E15" s="176">
        <f>'PLAN PRIHODA I PRIMITAKA '!C98</f>
        <v>32912167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3000</v>
      </c>
      <c r="D16" s="176">
        <f>'PLAN PRIHODA I PRIMITAKA '!C69</f>
        <v>3000</v>
      </c>
      <c r="E16" s="176">
        <f>'PLAN PRIHODA I PRIMITAKA '!C105</f>
        <v>3000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35356229</v>
      </c>
      <c r="D17" s="180">
        <f>+D18+D19</f>
        <v>30050024</v>
      </c>
      <c r="E17" s="180">
        <f>+E18+E19</f>
        <v>30091471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28993229</v>
      </c>
      <c r="D18" s="182">
        <f>'PLAN RASHODA I IZDATAKA'!C72</f>
        <v>29484024</v>
      </c>
      <c r="E18" s="182">
        <f>'PLAN RASHODA I IZDATAKA'!C92</f>
        <v>29550471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6363000</v>
      </c>
      <c r="D19" s="182">
        <f>'PLAN RASHODA I IZDATAKA'!C80</f>
        <v>566000</v>
      </c>
      <c r="E19" s="182">
        <f>'PLAN RASHODA I IZDATAKA'!C100</f>
        <v>541000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-4154081</v>
      </c>
      <c r="D20" s="173">
        <f>+D14-D17</f>
        <v>2706163</v>
      </c>
      <c r="E20" s="173">
        <f>+E14-E17</f>
        <v>2823696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61"/>
      <c r="C21" s="262"/>
      <c r="D21" s="262"/>
      <c r="E21" s="262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17684200</v>
      </c>
      <c r="D23" s="181">
        <f>'PLAN PRIHODA I PRIMITAKA '!C41</f>
        <v>13530119</v>
      </c>
      <c r="E23" s="181">
        <f>'PLAN PRIHODA I PRIMITAKA '!C77</f>
        <v>16236282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-13530119</v>
      </c>
      <c r="D24" s="185">
        <f>'PLAN PRIHODA I PRIMITAKA '!C43</f>
        <v>-16236282</v>
      </c>
      <c r="E24" s="186">
        <f>'PLAN PRIHODA I PRIMITAKA '!C79</f>
        <v>-19059978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61"/>
      <c r="C25" s="262"/>
      <c r="D25" s="262"/>
      <c r="E25" s="262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61"/>
      <c r="C30" s="262"/>
      <c r="D30" s="262"/>
      <c r="E30" s="262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topLeftCell="C1" zoomScale="166" zoomScaleNormal="166" workbookViewId="0">
      <pane ySplit="2" topLeftCell="A3" activePane="bottomLeft" state="frozen"/>
      <selection pane="bottomLeft" activeCell="G16" sqref="G16:I16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70" t="s">
        <v>812</v>
      </c>
      <c r="B1" s="270"/>
      <c r="C1" s="270"/>
      <c r="D1" s="270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17261248</v>
      </c>
      <c r="H3" s="198">
        <v>18052287</v>
      </c>
      <c r="I3" s="198">
        <v>18095067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31</v>
      </c>
      <c r="D4" s="140" t="str">
        <f t="shared" si="1"/>
        <v>Vlastiti prihodi</v>
      </c>
      <c r="E4" s="153">
        <v>6614</v>
      </c>
      <c r="F4" s="141" t="str">
        <f t="shared" ref="F4:F66" si="2">IFERROR(VLOOKUP(E4,$R$6:$U$73,2,FALSE),"")</f>
        <v>Prihodi od prodaje proizvoda i robe</v>
      </c>
      <c r="G4" s="198">
        <v>15000</v>
      </c>
      <c r="H4" s="198">
        <v>16000</v>
      </c>
      <c r="I4" s="198">
        <v>17000</v>
      </c>
      <c r="K4" s="144" t="str">
        <f t="shared" ref="K4:K67" si="3">LEFT(E4,3)</f>
        <v>661</v>
      </c>
      <c r="L4" s="144" t="str">
        <f t="shared" ref="L4:L67" si="4">LEFT(E4,2)</f>
        <v>66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31</v>
      </c>
      <c r="D5" s="140" t="str">
        <f t="shared" si="1"/>
        <v>Vlastiti prihodi</v>
      </c>
      <c r="E5" s="153">
        <v>641320031</v>
      </c>
      <c r="F5" s="141" t="str">
        <f t="shared" si="2"/>
        <v>Kamate na depozite po viđenju izvor 31</v>
      </c>
      <c r="G5" s="198">
        <v>4000</v>
      </c>
      <c r="H5" s="198">
        <v>4000</v>
      </c>
      <c r="I5" s="198">
        <v>4000</v>
      </c>
      <c r="K5" s="144" t="str">
        <f t="shared" si="3"/>
        <v>641</v>
      </c>
      <c r="L5" s="144" t="str">
        <f t="shared" si="4"/>
        <v>64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31</v>
      </c>
      <c r="D6" s="140" t="str">
        <f t="shared" si="1"/>
        <v>Vlastiti prihodi</v>
      </c>
      <c r="E6" s="153">
        <v>6615</v>
      </c>
      <c r="F6" s="141" t="str">
        <f t="shared" si="2"/>
        <v>Prihodi od pruženih usluga</v>
      </c>
      <c r="G6" s="198">
        <v>296000</v>
      </c>
      <c r="H6" s="198">
        <v>312000</v>
      </c>
      <c r="I6" s="198">
        <v>343000</v>
      </c>
      <c r="K6" s="144" t="str">
        <f t="shared" si="3"/>
        <v>661</v>
      </c>
      <c r="L6" s="144" t="str">
        <f t="shared" si="4"/>
        <v>66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43</v>
      </c>
      <c r="D7" s="140" t="str">
        <f t="shared" si="1"/>
        <v>Ostali prihodi za posebne namjene</v>
      </c>
      <c r="E7" s="153">
        <v>65264</v>
      </c>
      <c r="F7" s="141" t="str">
        <f t="shared" si="2"/>
        <v>Sufinanciranje cijene usluge, participacije i slično</v>
      </c>
      <c r="G7" s="198">
        <v>13140000</v>
      </c>
      <c r="H7" s="198">
        <v>14000000</v>
      </c>
      <c r="I7" s="198">
        <v>14200000</v>
      </c>
      <c r="K7" s="144" t="str">
        <f t="shared" si="3"/>
        <v>652</v>
      </c>
      <c r="L7" s="144" t="str">
        <f t="shared" si="4"/>
        <v>65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61</v>
      </c>
      <c r="D8" s="140" t="str">
        <f t="shared" si="1"/>
        <v>Donacije</v>
      </c>
      <c r="E8" s="153">
        <v>663140000</v>
      </c>
      <c r="F8" s="141" t="str">
        <f t="shared" si="2"/>
        <v>Tekuće donacije od ostalih subjekata izvan opće države</v>
      </c>
      <c r="G8" s="198">
        <v>54000</v>
      </c>
      <c r="H8" s="198">
        <v>0</v>
      </c>
      <c r="I8" s="198">
        <v>0</v>
      </c>
      <c r="K8" s="144" t="str">
        <f t="shared" si="3"/>
        <v>663</v>
      </c>
      <c r="L8" s="144" t="str">
        <f t="shared" si="4"/>
        <v>66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61</v>
      </c>
      <c r="D9" s="140" t="str">
        <f t="shared" si="1"/>
        <v>Donacije</v>
      </c>
      <c r="E9" s="153">
        <v>663120000</v>
      </c>
      <c r="F9" s="141" t="str">
        <f t="shared" si="2"/>
        <v>Tekuće donacije od neprofitnih organizacija</v>
      </c>
      <c r="G9" s="198">
        <v>127400</v>
      </c>
      <c r="H9" s="198">
        <v>127400</v>
      </c>
      <c r="I9" s="198">
        <v>95000</v>
      </c>
      <c r="K9" s="144" t="str">
        <f t="shared" si="3"/>
        <v>663</v>
      </c>
      <c r="L9" s="144" t="str">
        <f t="shared" si="4"/>
        <v>66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52</v>
      </c>
      <c r="D10" s="140" t="str">
        <f t="shared" si="1"/>
        <v>Ostale pomoći</v>
      </c>
      <c r="E10" s="153">
        <v>6393</v>
      </c>
      <c r="F10" s="141" t="str">
        <f t="shared" si="2"/>
        <v>Tekući prijenosi između proračunskih korisnika istog proračuna temeljem prijenosa EU sredstava</v>
      </c>
      <c r="G10" s="198">
        <v>80000</v>
      </c>
      <c r="H10" s="198">
        <v>87000</v>
      </c>
      <c r="I10" s="198">
        <v>89000</v>
      </c>
      <c r="K10" s="144" t="str">
        <f t="shared" si="3"/>
        <v>639</v>
      </c>
      <c r="L10" s="144" t="str">
        <f t="shared" si="4"/>
        <v>63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52</v>
      </c>
      <c r="D11" s="140" t="str">
        <f t="shared" si="1"/>
        <v>Ostale pomoći</v>
      </c>
      <c r="E11" s="153">
        <v>6391</v>
      </c>
      <c r="F11" s="141" t="str">
        <f t="shared" si="2"/>
        <v>Tekući prijenosi između proračunskih korisnika istog proračuna</v>
      </c>
      <c r="G11" s="198">
        <v>38200</v>
      </c>
      <c r="H11" s="198">
        <v>31500</v>
      </c>
      <c r="I11" s="198">
        <v>19100</v>
      </c>
      <c r="K11" s="144" t="str">
        <f t="shared" si="3"/>
        <v>639</v>
      </c>
      <c r="L11" s="144" t="str">
        <f t="shared" si="4"/>
        <v>63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08006</v>
      </c>
      <c r="B12" s="142" t="str">
        <f>IF(E12="","",VLOOKUP('Opći dio'!$C$3,'Opći dio'!$L$6:$U$135,9,FALSE))</f>
        <v>Sveučilišta i veleučilišta u Republici Hrvatskoj</v>
      </c>
      <c r="C12" s="202">
        <f t="shared" si="0"/>
        <v>52</v>
      </c>
      <c r="D12" s="140" t="str">
        <f t="shared" si="1"/>
        <v>Ostale pomoći</v>
      </c>
      <c r="E12" s="153">
        <v>6393</v>
      </c>
      <c r="F12" s="141" t="str">
        <f t="shared" si="2"/>
        <v>Tekući prijenosi između proračunskih korisnika istog proračuna temeljem prijenosa EU sredstava</v>
      </c>
      <c r="G12" s="198">
        <v>50000</v>
      </c>
      <c r="H12" s="198">
        <v>50000</v>
      </c>
      <c r="I12" s="198">
        <v>50000</v>
      </c>
      <c r="K12" s="144" t="str">
        <f t="shared" si="3"/>
        <v>639</v>
      </c>
      <c r="L12" s="144" t="str">
        <f t="shared" si="4"/>
        <v>63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>08006</v>
      </c>
      <c r="B13" s="142" t="str">
        <f>IF(E13="","",VLOOKUP('Opći dio'!$C$3,'Opći dio'!$L$6:$U$135,9,FALSE))</f>
        <v>Sveučilišta i veleučilišta u Republici Hrvatskoj</v>
      </c>
      <c r="C13" s="202">
        <f t="shared" si="0"/>
        <v>71</v>
      </c>
      <c r="D13" s="140" t="str">
        <f t="shared" si="1"/>
        <v>Prihodi od nefin. imovine i nadoknade štete s osnova osig.</v>
      </c>
      <c r="E13" s="153">
        <v>721190071</v>
      </c>
      <c r="F13" s="141" t="str">
        <f t="shared" si="2"/>
        <v>Ostali stambeni objekti izvor 71</v>
      </c>
      <c r="G13" s="198">
        <v>3000</v>
      </c>
      <c r="H13" s="198">
        <v>3000</v>
      </c>
      <c r="I13" s="198">
        <v>3000</v>
      </c>
      <c r="K13" s="144" t="str">
        <f t="shared" si="3"/>
        <v>721</v>
      </c>
      <c r="L13" s="144" t="str">
        <f t="shared" si="4"/>
        <v>72</v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>08006</v>
      </c>
      <c r="B14" s="142" t="str">
        <f>IF(E14="","",VLOOKUP('Opći dio'!$C$3,'Opći dio'!$L$6:$U$135,9,FALSE))</f>
        <v>Sveučilišta i veleučilišta u Republici Hrvatskoj</v>
      </c>
      <c r="C14" s="202">
        <f t="shared" si="0"/>
        <v>51</v>
      </c>
      <c r="D14" s="140" t="str">
        <f t="shared" si="1"/>
        <v>Pomoći EU</v>
      </c>
      <c r="E14" s="153">
        <v>632311700</v>
      </c>
      <c r="F14" s="141" t="str">
        <f t="shared" si="2"/>
        <v>Tekuće pomoći od institucija i tijela EU - ostalo</v>
      </c>
      <c r="G14" s="198">
        <v>133300</v>
      </c>
      <c r="H14" s="198">
        <v>73000</v>
      </c>
      <c r="I14" s="198"/>
      <c r="K14" s="144" t="str">
        <f t="shared" si="3"/>
        <v>632</v>
      </c>
      <c r="L14" s="144" t="str">
        <f t="shared" si="4"/>
        <v>63</v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topLeftCell="C1" zoomScale="154" zoomScaleNormal="154" workbookViewId="0">
      <pane ySplit="2" topLeftCell="A81" activePane="bottomLeft" state="frozen"/>
      <selection pane="bottomLeft" activeCell="J94" sqref="J94:K94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71" t="s">
        <v>811</v>
      </c>
      <c r="B1" s="271"/>
      <c r="C1" s="271"/>
      <c r="D1" s="271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52" t="s">
        <v>80</v>
      </c>
      <c r="H3" s="149" t="str">
        <f>IFERROR(VLOOKUP(G3,$X$6:$Y$50,2,FALSE),"")</f>
        <v>REDOVNA DJELATNOST SVEUČILIŠTA U OSIJEKU</v>
      </c>
      <c r="I3" s="198">
        <v>13189812</v>
      </c>
      <c r="J3" s="198">
        <v>13763466</v>
      </c>
      <c r="K3" s="198">
        <v>13781365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252" t="s">
        <v>80</v>
      </c>
      <c r="H4" s="149" t="str">
        <f t="shared" ref="H4:H67" si="2">IFERROR(VLOOKUP(G4,$X$6:$Y$50,2,FALSE),"")</f>
        <v>REDOVNA DJELATNOST SVEUČILIŠTA U OSIJEKU</v>
      </c>
      <c r="I4" s="198">
        <v>361450</v>
      </c>
      <c r="J4" s="198">
        <v>369463</v>
      </c>
      <c r="K4" s="198">
        <v>372869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252" t="s">
        <v>80</v>
      </c>
      <c r="H5" s="149" t="str">
        <f t="shared" si="2"/>
        <v>REDOVNA DJELATNOST SVEUČILIŠTA U OSIJEKU</v>
      </c>
      <c r="I5" s="198">
        <v>2084327</v>
      </c>
      <c r="J5" s="198">
        <v>2130537</v>
      </c>
      <c r="K5" s="198">
        <v>2150181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52" t="s">
        <v>80</v>
      </c>
      <c r="H6" s="149" t="str">
        <f t="shared" si="2"/>
        <v>REDOVNA DJELATNOST SVEUČILIŠTA U OSIJEKU</v>
      </c>
      <c r="I6" s="198">
        <v>194300</v>
      </c>
      <c r="J6" s="198">
        <v>198608</v>
      </c>
      <c r="K6" s="198">
        <v>200439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3236</v>
      </c>
      <c r="F7" s="149" t="str">
        <f t="shared" si="0"/>
        <v>Zdravstvene i veterinarske usluge</v>
      </c>
      <c r="G7" s="252" t="s">
        <v>80</v>
      </c>
      <c r="H7" s="149" t="str">
        <f t="shared" si="2"/>
        <v>REDOVNA DJELATNOST SVEUČILIŠTA U OSIJEKU</v>
      </c>
      <c r="I7" s="198">
        <v>16000</v>
      </c>
      <c r="J7" s="198">
        <v>16500</v>
      </c>
      <c r="K7" s="198">
        <v>16500</v>
      </c>
      <c r="M7" s="144" t="str">
        <f t="shared" si="3"/>
        <v>323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3237</v>
      </c>
      <c r="F8" s="149" t="str">
        <f t="shared" si="0"/>
        <v>Intelektualne i osobne usluge</v>
      </c>
      <c r="G8" s="252" t="s">
        <v>866</v>
      </c>
      <c r="H8" s="149" t="str">
        <f t="shared" si="2"/>
        <v>PROGRAMI VJEŽBAONICA VISOKIH UČILIŠTA</v>
      </c>
      <c r="I8" s="198">
        <v>3800</v>
      </c>
      <c r="J8" s="198">
        <v>3800</v>
      </c>
      <c r="K8" s="198">
        <v>3800</v>
      </c>
      <c r="M8" s="144" t="str">
        <f t="shared" si="3"/>
        <v>323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11</v>
      </c>
      <c r="D9" s="149" t="str">
        <f t="shared" si="1"/>
        <v>Opći prihodi i primici</v>
      </c>
      <c r="E9" s="154">
        <v>3111</v>
      </c>
      <c r="F9" s="149" t="str">
        <f t="shared" si="0"/>
        <v>Plaće za redovan rad</v>
      </c>
      <c r="G9" s="201" t="s">
        <v>864</v>
      </c>
      <c r="H9" s="149" t="str">
        <f t="shared" si="2"/>
        <v>PROGRAMSKO FINANCIRANJE JAVNIH VISOKIH UČILIŠTA</v>
      </c>
      <c r="I9" s="198">
        <v>120000</v>
      </c>
      <c r="J9" s="198">
        <v>120000</v>
      </c>
      <c r="K9" s="198">
        <v>120000</v>
      </c>
      <c r="M9" s="144" t="str">
        <f t="shared" si="3"/>
        <v>311</v>
      </c>
      <c r="N9" s="144" t="str">
        <f t="shared" si="4"/>
        <v>31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1"/>
        <v>Opći prihodi i primici</v>
      </c>
      <c r="E10" s="154">
        <v>3132</v>
      </c>
      <c r="F10" s="149" t="str">
        <f t="shared" si="0"/>
        <v>Doprinosi za obvezno zdravstveno osiguranje</v>
      </c>
      <c r="G10" s="201" t="s">
        <v>864</v>
      </c>
      <c r="H10" s="149" t="str">
        <f t="shared" si="2"/>
        <v>PROGRAMSKO FINANCIRANJE JAVNIH VISOKIH UČILIŠTA</v>
      </c>
      <c r="I10" s="198">
        <v>20000</v>
      </c>
      <c r="J10" s="198">
        <v>20000</v>
      </c>
      <c r="K10" s="198">
        <v>20000</v>
      </c>
      <c r="M10" s="144" t="str">
        <f t="shared" si="3"/>
        <v>313</v>
      </c>
      <c r="N10" s="144" t="str">
        <f t="shared" si="4"/>
        <v>31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si="1"/>
        <v>Opći prihodi i primici</v>
      </c>
      <c r="E11" s="154">
        <v>3211</v>
      </c>
      <c r="F11" s="149" t="str">
        <f t="shared" si="0"/>
        <v>Službena putovanja</v>
      </c>
      <c r="G11" s="201" t="s">
        <v>864</v>
      </c>
      <c r="H11" s="149" t="str">
        <f t="shared" si="2"/>
        <v>PROGRAMSKO FINANCIRANJE JAVNIH VISOKIH UČILIŠTA</v>
      </c>
      <c r="I11" s="198">
        <v>44858</v>
      </c>
      <c r="J11" s="198">
        <v>44858</v>
      </c>
      <c r="K11" s="198">
        <v>44858</v>
      </c>
      <c r="M11" s="144" t="str">
        <f t="shared" si="3"/>
        <v>321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"/>
        <v>Opći prihodi i primici</v>
      </c>
      <c r="E12" s="154">
        <v>3213</v>
      </c>
      <c r="F12" s="149" t="str">
        <f t="shared" si="0"/>
        <v>Stručno usavršavanje zaposlenika</v>
      </c>
      <c r="G12" s="201" t="s">
        <v>864</v>
      </c>
      <c r="H12" s="149" t="str">
        <f t="shared" si="2"/>
        <v>PROGRAMSKO FINANCIRANJE JAVNIH VISOKIH UČILIŠTA</v>
      </c>
      <c r="I12" s="198">
        <v>16000</v>
      </c>
      <c r="J12" s="198">
        <v>16000</v>
      </c>
      <c r="K12" s="198">
        <v>16000</v>
      </c>
      <c r="M12" s="144" t="str">
        <f t="shared" si="3"/>
        <v>321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3221</v>
      </c>
      <c r="F13" s="149" t="str">
        <f t="shared" si="0"/>
        <v>Uredski materijal i ostali materijalni rashodi</v>
      </c>
      <c r="G13" s="201" t="s">
        <v>864</v>
      </c>
      <c r="H13" s="149" t="str">
        <f t="shared" si="2"/>
        <v>PROGRAMSKO FINANCIRANJE JAVNIH VISOKIH UČILIŠTA</v>
      </c>
      <c r="I13" s="198">
        <v>91000</v>
      </c>
      <c r="J13" s="198">
        <v>91000</v>
      </c>
      <c r="K13" s="198">
        <v>91000</v>
      </c>
      <c r="M13" s="144" t="str">
        <f t="shared" si="3"/>
        <v>322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3223</v>
      </c>
      <c r="F14" s="149" t="str">
        <f t="shared" si="0"/>
        <v>Energija</v>
      </c>
      <c r="G14" s="201" t="s">
        <v>864</v>
      </c>
      <c r="H14" s="149" t="str">
        <f t="shared" si="2"/>
        <v>PROGRAMSKO FINANCIRANJE JAVNIH VISOKIH UČILIŠTA</v>
      </c>
      <c r="I14" s="198">
        <v>237701</v>
      </c>
      <c r="J14" s="198">
        <v>362000</v>
      </c>
      <c r="K14" s="198">
        <v>362000</v>
      </c>
      <c r="M14" s="144" t="str">
        <f t="shared" si="3"/>
        <v>322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3224</v>
      </c>
      <c r="F15" s="149" t="str">
        <f t="shared" si="0"/>
        <v>Materijal i dijelovi za tekuće i investicijsko održavanje</v>
      </c>
      <c r="G15" s="201" t="s">
        <v>864</v>
      </c>
      <c r="H15" s="149" t="str">
        <f t="shared" si="2"/>
        <v>PROGRAMSKO FINANCIRANJE JAVNIH VISOKIH UČILIŠTA</v>
      </c>
      <c r="I15" s="198">
        <v>20000</v>
      </c>
      <c r="J15" s="198">
        <v>20000</v>
      </c>
      <c r="K15" s="198">
        <v>20000</v>
      </c>
      <c r="M15" s="144" t="str">
        <f t="shared" si="3"/>
        <v>322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"/>
        <v>Opći prihodi i primici</v>
      </c>
      <c r="E16" s="154">
        <v>3231</v>
      </c>
      <c r="F16" s="149" t="str">
        <f t="shared" si="0"/>
        <v>Usluge telefona, pošte i prijevoza</v>
      </c>
      <c r="G16" s="201" t="s">
        <v>864</v>
      </c>
      <c r="H16" s="149" t="str">
        <f t="shared" si="2"/>
        <v>PROGRAMSKO FINANCIRANJE JAVNIH VISOKIH UČILIŠTA</v>
      </c>
      <c r="I16" s="198">
        <v>60000</v>
      </c>
      <c r="J16" s="198">
        <v>60000</v>
      </c>
      <c r="K16" s="198">
        <v>60000</v>
      </c>
      <c r="M16" s="144" t="str">
        <f t="shared" si="3"/>
        <v>323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"/>
        <v>Opći prihodi i primici</v>
      </c>
      <c r="E17" s="154">
        <v>3232</v>
      </c>
      <c r="F17" s="149" t="str">
        <f t="shared" si="0"/>
        <v>Usluge tekućeg i investicijskog održavanja</v>
      </c>
      <c r="G17" s="201" t="s">
        <v>864</v>
      </c>
      <c r="H17" s="149" t="str">
        <f t="shared" si="2"/>
        <v>PROGRAMSKO FINANCIRANJE JAVNIH VISOKIH UČILIŠTA</v>
      </c>
      <c r="I17" s="198">
        <v>73000</v>
      </c>
      <c r="J17" s="198">
        <v>72860</v>
      </c>
      <c r="K17" s="198">
        <v>72860</v>
      </c>
      <c r="M17" s="144" t="str">
        <f t="shared" si="3"/>
        <v>323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3234</v>
      </c>
      <c r="F18" s="149" t="str">
        <f t="shared" si="0"/>
        <v>Komunalne usluge</v>
      </c>
      <c r="G18" s="201" t="s">
        <v>864</v>
      </c>
      <c r="H18" s="149" t="str">
        <f t="shared" si="2"/>
        <v>PROGRAMSKO FINANCIRANJE JAVNIH VISOKIH UČILIŠTA</v>
      </c>
      <c r="I18" s="198">
        <v>38000</v>
      </c>
      <c r="J18" s="198">
        <v>38000</v>
      </c>
      <c r="K18" s="198">
        <v>38000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"/>
        <v>Opći prihodi i primici</v>
      </c>
      <c r="E19" s="154">
        <v>3235</v>
      </c>
      <c r="F19" s="149" t="str">
        <f t="shared" si="0"/>
        <v>Zakupnine i najamnine</v>
      </c>
      <c r="G19" s="201" t="s">
        <v>864</v>
      </c>
      <c r="H19" s="149" t="str">
        <f t="shared" si="2"/>
        <v>PROGRAMSKO FINANCIRANJE JAVNIH VISOKIH UČILIŠTA</v>
      </c>
      <c r="I19" s="198">
        <v>190000</v>
      </c>
      <c r="J19" s="198">
        <v>224195</v>
      </c>
      <c r="K19" s="198">
        <v>224195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"/>
        <v>Opći prihodi i primici</v>
      </c>
      <c r="E20" s="154">
        <v>3237</v>
      </c>
      <c r="F20" s="149" t="str">
        <f t="shared" si="0"/>
        <v>Intelektualne i osobne usluge</v>
      </c>
      <c r="G20" s="201" t="s">
        <v>864</v>
      </c>
      <c r="H20" s="149" t="str">
        <f t="shared" si="2"/>
        <v>PROGRAMSKO FINANCIRANJE JAVNIH VISOKIH UČILIŠTA</v>
      </c>
      <c r="I20" s="198">
        <v>200000</v>
      </c>
      <c r="J20" s="198">
        <v>200000</v>
      </c>
      <c r="K20" s="198">
        <v>200000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11</v>
      </c>
      <c r="D21" s="149" t="str">
        <f t="shared" si="1"/>
        <v>Opći prihodi i primici</v>
      </c>
      <c r="E21" s="154">
        <v>3238</v>
      </c>
      <c r="F21" s="149" t="str">
        <f t="shared" si="0"/>
        <v>Računalne usluge</v>
      </c>
      <c r="G21" s="201" t="s">
        <v>864</v>
      </c>
      <c r="H21" s="149" t="str">
        <f t="shared" si="2"/>
        <v>PROGRAMSKO FINANCIRANJE JAVNIH VISOKIH UČILIŠTA</v>
      </c>
      <c r="I21" s="198">
        <v>35000</v>
      </c>
      <c r="J21" s="198">
        <v>35000</v>
      </c>
      <c r="K21" s="198">
        <v>35000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"/>
        <v>Opći prihodi i primici</v>
      </c>
      <c r="E22" s="154">
        <v>3239</v>
      </c>
      <c r="F22" s="149" t="str">
        <f t="shared" si="0"/>
        <v>Ostale usluge</v>
      </c>
      <c r="G22" s="201" t="s">
        <v>864</v>
      </c>
      <c r="H22" s="149" t="str">
        <f t="shared" si="2"/>
        <v>PROGRAMSKO FINANCIRANJE JAVNIH VISOKIH UČILIŠTA</v>
      </c>
      <c r="I22" s="198">
        <v>24000</v>
      </c>
      <c r="J22" s="198">
        <v>24000</v>
      </c>
      <c r="K22" s="198">
        <v>24000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11</v>
      </c>
      <c r="D23" s="149" t="str">
        <f t="shared" si="1"/>
        <v>Opći prihodi i primici</v>
      </c>
      <c r="E23" s="154">
        <v>3241</v>
      </c>
      <c r="F23" s="149" t="str">
        <f t="shared" si="0"/>
        <v>Naknade troškova osobama izvan radnog odnosa</v>
      </c>
      <c r="G23" s="201" t="s">
        <v>864</v>
      </c>
      <c r="H23" s="149" t="str">
        <f t="shared" si="2"/>
        <v>PROGRAMSKO FINANCIRANJE JAVNIH VISOKIH UČILIŠTA</v>
      </c>
      <c r="I23" s="198">
        <v>65000</v>
      </c>
      <c r="J23" s="198">
        <v>65000</v>
      </c>
      <c r="K23" s="198">
        <v>65000</v>
      </c>
      <c r="M23" s="144" t="str">
        <f t="shared" si="3"/>
        <v>324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11</v>
      </c>
      <c r="D24" s="149" t="str">
        <f t="shared" si="1"/>
        <v>Opći prihodi i primici</v>
      </c>
      <c r="E24" s="154">
        <v>3292</v>
      </c>
      <c r="F24" s="149" t="str">
        <f t="shared" si="0"/>
        <v>Premije osiguranja</v>
      </c>
      <c r="G24" s="201" t="s">
        <v>864</v>
      </c>
      <c r="H24" s="149" t="str">
        <f t="shared" si="2"/>
        <v>PROGRAMSKO FINANCIRANJE JAVNIH VISOKIH UČILIŠTA</v>
      </c>
      <c r="I24" s="198">
        <v>12000</v>
      </c>
      <c r="J24" s="198">
        <v>12000</v>
      </c>
      <c r="K24" s="198">
        <v>12000</v>
      </c>
      <c r="M24" s="144" t="str">
        <f t="shared" si="3"/>
        <v>329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11</v>
      </c>
      <c r="D25" s="149" t="str">
        <f t="shared" si="1"/>
        <v>Opći prihodi i primici</v>
      </c>
      <c r="E25" s="154">
        <v>3293</v>
      </c>
      <c r="F25" s="149" t="str">
        <f t="shared" si="0"/>
        <v>Reprezentacija</v>
      </c>
      <c r="G25" s="201" t="s">
        <v>864</v>
      </c>
      <c r="H25" s="149" t="str">
        <f t="shared" si="2"/>
        <v>PROGRAMSKO FINANCIRANJE JAVNIH VISOKIH UČILIŠTA</v>
      </c>
      <c r="I25" s="198">
        <v>10000</v>
      </c>
      <c r="J25" s="198">
        <v>10000</v>
      </c>
      <c r="K25" s="198">
        <v>10000</v>
      </c>
      <c r="M25" s="144" t="str">
        <f t="shared" si="3"/>
        <v>329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11</v>
      </c>
      <c r="D26" s="149" t="str">
        <f t="shared" si="1"/>
        <v>Opći prihodi i primici</v>
      </c>
      <c r="E26" s="154">
        <v>3294</v>
      </c>
      <c r="F26" s="149" t="str">
        <f t="shared" si="0"/>
        <v>Članarine i norme</v>
      </c>
      <c r="G26" s="201" t="s">
        <v>864</v>
      </c>
      <c r="H26" s="149" t="str">
        <f t="shared" si="2"/>
        <v>PROGRAMSKO FINANCIRANJE JAVNIH VISOKIH UČILIŠTA</v>
      </c>
      <c r="I26" s="198">
        <v>5000</v>
      </c>
      <c r="J26" s="198">
        <v>5000</v>
      </c>
      <c r="K26" s="198">
        <v>5000</v>
      </c>
      <c r="M26" s="144" t="str">
        <f t="shared" si="3"/>
        <v>329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11</v>
      </c>
      <c r="D27" s="149" t="str">
        <f t="shared" si="1"/>
        <v>Opći prihodi i primici</v>
      </c>
      <c r="E27" s="154">
        <v>3299</v>
      </c>
      <c r="F27" s="149" t="str">
        <f t="shared" si="0"/>
        <v>Ostali nespomenuti rashodi poslovanja</v>
      </c>
      <c r="G27" s="201" t="s">
        <v>864</v>
      </c>
      <c r="H27" s="149" t="str">
        <f t="shared" si="2"/>
        <v>PROGRAMSKO FINANCIRANJE JAVNIH VISOKIH UČILIŠTA</v>
      </c>
      <c r="I27" s="198">
        <v>5000</v>
      </c>
      <c r="J27" s="198">
        <v>5000</v>
      </c>
      <c r="K27" s="198">
        <v>5000</v>
      </c>
      <c r="M27" s="144" t="str">
        <f t="shared" si="3"/>
        <v>329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11</v>
      </c>
      <c r="D28" s="149" t="str">
        <f t="shared" si="1"/>
        <v>Opći prihodi i primici</v>
      </c>
      <c r="E28" s="154">
        <v>3431</v>
      </c>
      <c r="F28" s="149" t="str">
        <f t="shared" si="0"/>
        <v>Bankarske usluge i usluge platnog prometa</v>
      </c>
      <c r="G28" s="201" t="s">
        <v>864</v>
      </c>
      <c r="H28" s="149" t="str">
        <f t="shared" si="2"/>
        <v>PROGRAMSKO FINANCIRANJE JAVNIH VISOKIH UČILIŠTA</v>
      </c>
      <c r="I28" s="198">
        <v>5000</v>
      </c>
      <c r="J28" s="198">
        <v>5000</v>
      </c>
      <c r="K28" s="198">
        <v>5000</v>
      </c>
      <c r="M28" s="144" t="str">
        <f t="shared" si="3"/>
        <v>343</v>
      </c>
      <c r="N28" s="144" t="str">
        <f t="shared" si="4"/>
        <v>34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11</v>
      </c>
      <c r="D29" s="149" t="str">
        <f t="shared" si="1"/>
        <v>Opći prihodi i primici</v>
      </c>
      <c r="E29" s="154">
        <v>4221</v>
      </c>
      <c r="F29" s="149" t="str">
        <f t="shared" si="0"/>
        <v>Uredska oprema i namještaj</v>
      </c>
      <c r="G29" s="201" t="s">
        <v>864</v>
      </c>
      <c r="H29" s="149" t="str">
        <f t="shared" si="2"/>
        <v>PROGRAMSKO FINANCIRANJE JAVNIH VISOKIH UČILIŠTA</v>
      </c>
      <c r="I29" s="198">
        <v>20000</v>
      </c>
      <c r="J29" s="198">
        <v>20000</v>
      </c>
      <c r="K29" s="198">
        <v>20000</v>
      </c>
      <c r="M29" s="144" t="str">
        <f t="shared" si="3"/>
        <v>422</v>
      </c>
      <c r="N29" s="144" t="str">
        <f t="shared" si="4"/>
        <v>42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11</v>
      </c>
      <c r="D30" s="149" t="str">
        <f t="shared" si="1"/>
        <v>Opći prihodi i primici</v>
      </c>
      <c r="E30" s="154">
        <v>4222</v>
      </c>
      <c r="F30" s="149" t="str">
        <f t="shared" si="0"/>
        <v>Komunikacijska oprema</v>
      </c>
      <c r="G30" s="201" t="s">
        <v>864</v>
      </c>
      <c r="H30" s="149" t="str">
        <f t="shared" si="2"/>
        <v>PROGRAMSKO FINANCIRANJE JAVNIH VISOKIH UČILIŠTA</v>
      </c>
      <c r="I30" s="198">
        <v>75000</v>
      </c>
      <c r="J30" s="198">
        <v>75000</v>
      </c>
      <c r="K30" s="198">
        <v>75000</v>
      </c>
      <c r="M30" s="144" t="str">
        <f t="shared" si="3"/>
        <v>422</v>
      </c>
      <c r="N30" s="144" t="str">
        <f t="shared" si="4"/>
        <v>42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11</v>
      </c>
      <c r="D31" s="149" t="str">
        <f t="shared" si="1"/>
        <v>Opći prihodi i primici</v>
      </c>
      <c r="E31" s="154">
        <v>4241</v>
      </c>
      <c r="F31" s="149" t="str">
        <f t="shared" si="0"/>
        <v>Knjige</v>
      </c>
      <c r="G31" s="201" t="s">
        <v>864</v>
      </c>
      <c r="H31" s="149" t="str">
        <f t="shared" si="2"/>
        <v>PROGRAMSKO FINANCIRANJE JAVNIH VISOKIH UČILIŠTA</v>
      </c>
      <c r="I31" s="198">
        <v>45000</v>
      </c>
      <c r="J31" s="198">
        <v>45000</v>
      </c>
      <c r="K31" s="198">
        <v>45000</v>
      </c>
      <c r="M31" s="144" t="str">
        <f t="shared" si="3"/>
        <v>424</v>
      </c>
      <c r="N31" s="144" t="str">
        <f t="shared" si="4"/>
        <v>42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31</v>
      </c>
      <c r="D32" s="149" t="str">
        <f t="shared" si="1"/>
        <v>Vlastiti prihodi</v>
      </c>
      <c r="E32" s="154">
        <v>3111</v>
      </c>
      <c r="F32" s="149" t="str">
        <f t="shared" si="0"/>
        <v>Plaće za redovan rad</v>
      </c>
      <c r="G32" s="252" t="s">
        <v>197</v>
      </c>
      <c r="H32" s="149" t="str">
        <f t="shared" si="2"/>
        <v>REDOVNA DJELATNOST SVEUČILIŠTA U OSIJEKU (IZ EVIDENCIJSKIH PRIHODA)</v>
      </c>
      <c r="I32" s="198">
        <v>124800</v>
      </c>
      <c r="J32" s="198">
        <v>116800</v>
      </c>
      <c r="K32" s="198">
        <v>116000</v>
      </c>
      <c r="M32" s="144" t="str">
        <f t="shared" si="3"/>
        <v>311</v>
      </c>
      <c r="N32" s="144" t="str">
        <f t="shared" si="4"/>
        <v>31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31</v>
      </c>
      <c r="D33" s="149" t="str">
        <f t="shared" si="1"/>
        <v>Vlastiti prihodi</v>
      </c>
      <c r="E33" s="154">
        <v>3132</v>
      </c>
      <c r="F33" s="149" t="str">
        <f t="shared" si="0"/>
        <v>Doprinosi za obvezno zdravstveno osiguranje</v>
      </c>
      <c r="G33" s="252" t="s">
        <v>197</v>
      </c>
      <c r="H33" s="149" t="str">
        <f t="shared" si="2"/>
        <v>REDOVNA DJELATNOST SVEUČILIŠTA U OSIJEKU (IZ EVIDENCIJSKIH PRIHODA)</v>
      </c>
      <c r="I33" s="198">
        <v>20000</v>
      </c>
      <c r="J33" s="198">
        <v>18000</v>
      </c>
      <c r="K33" s="198">
        <v>18000</v>
      </c>
      <c r="M33" s="144" t="str">
        <f t="shared" si="3"/>
        <v>313</v>
      </c>
      <c r="N33" s="144" t="str">
        <f t="shared" si="4"/>
        <v>31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31</v>
      </c>
      <c r="D34" s="149" t="str">
        <f t="shared" si="1"/>
        <v>Vlastiti prihodi</v>
      </c>
      <c r="E34" s="154">
        <v>3211</v>
      </c>
      <c r="F34" s="149" t="str">
        <f t="shared" si="0"/>
        <v>Službena putovanja</v>
      </c>
      <c r="G34" s="252" t="s">
        <v>197</v>
      </c>
      <c r="H34" s="149" t="str">
        <f t="shared" si="2"/>
        <v>REDOVNA DJELATNOST SVEUČILIŠTA U OSIJEKU (IZ EVIDENCIJSKIH PRIHODA)</v>
      </c>
      <c r="I34" s="198">
        <v>3000</v>
      </c>
      <c r="J34" s="198">
        <v>3000</v>
      </c>
      <c r="K34" s="198">
        <v>3000</v>
      </c>
      <c r="M34" s="144" t="str">
        <f t="shared" si="3"/>
        <v>321</v>
      </c>
      <c r="N34" s="144" t="str">
        <f t="shared" si="4"/>
        <v>32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31</v>
      </c>
      <c r="D35" s="149" t="str">
        <f t="shared" si="1"/>
        <v>Vlastiti prihodi</v>
      </c>
      <c r="E35" s="154">
        <v>3221</v>
      </c>
      <c r="F35" s="149" t="str">
        <f t="shared" si="0"/>
        <v>Uredski materijal i ostali materijalni rashodi</v>
      </c>
      <c r="G35" s="252" t="s">
        <v>197</v>
      </c>
      <c r="H35" s="149" t="str">
        <f t="shared" si="2"/>
        <v>REDOVNA DJELATNOST SVEUČILIŠTA U OSIJEKU (IZ EVIDENCIJSKIH PRIHODA)</v>
      </c>
      <c r="I35" s="198">
        <v>1000</v>
      </c>
      <c r="J35" s="198">
        <v>1000</v>
      </c>
      <c r="K35" s="198">
        <v>1000</v>
      </c>
      <c r="M35" s="144" t="str">
        <f t="shared" si="3"/>
        <v>322</v>
      </c>
      <c r="N35" s="144" t="str">
        <f t="shared" si="4"/>
        <v>32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31</v>
      </c>
      <c r="D36" s="149" t="str">
        <f t="shared" si="1"/>
        <v>Vlastiti prihodi</v>
      </c>
      <c r="E36" s="154">
        <v>3232</v>
      </c>
      <c r="F36" s="149" t="str">
        <f t="shared" si="0"/>
        <v>Usluge tekućeg i investicijskog održavanja</v>
      </c>
      <c r="G36" s="252" t="s">
        <v>197</v>
      </c>
      <c r="H36" s="149" t="str">
        <f t="shared" si="2"/>
        <v>REDOVNA DJELATNOST SVEUČILIŠTA U OSIJEKU (IZ EVIDENCIJSKIH PRIHODA)</v>
      </c>
      <c r="I36" s="198">
        <v>9000</v>
      </c>
      <c r="J36" s="198">
        <v>9000</v>
      </c>
      <c r="K36" s="198">
        <v>9000</v>
      </c>
      <c r="M36" s="144" t="str">
        <f t="shared" si="3"/>
        <v>323</v>
      </c>
      <c r="N36" s="144" t="str">
        <f t="shared" si="4"/>
        <v>32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31</v>
      </c>
      <c r="D37" s="149" t="str">
        <f t="shared" si="1"/>
        <v>Vlastiti prihodi</v>
      </c>
      <c r="E37" s="154">
        <v>3233</v>
      </c>
      <c r="F37" s="149" t="str">
        <f t="shared" si="0"/>
        <v>Usluge promidžbe i informiranja</v>
      </c>
      <c r="G37" s="252" t="s">
        <v>197</v>
      </c>
      <c r="H37" s="149" t="str">
        <f t="shared" si="2"/>
        <v>REDOVNA DJELATNOST SVEUČILIŠTA U OSIJEKU (IZ EVIDENCIJSKIH PRIHODA)</v>
      </c>
      <c r="I37" s="198">
        <v>2000</v>
      </c>
      <c r="J37" s="198">
        <v>0</v>
      </c>
      <c r="K37" s="198">
        <v>0</v>
      </c>
      <c r="M37" s="144" t="str">
        <f t="shared" si="3"/>
        <v>323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31</v>
      </c>
      <c r="D38" s="149" t="str">
        <f t="shared" si="1"/>
        <v>Vlastiti prihodi</v>
      </c>
      <c r="E38" s="154">
        <v>3237</v>
      </c>
      <c r="F38" s="149" t="str">
        <f t="shared" si="0"/>
        <v>Intelektualne i osobne usluge</v>
      </c>
      <c r="G38" s="252" t="s">
        <v>197</v>
      </c>
      <c r="H38" s="149" t="str">
        <f t="shared" si="2"/>
        <v>REDOVNA DJELATNOST SVEUČILIŠTA U OSIJEKU (IZ EVIDENCIJSKIH PRIHODA)</v>
      </c>
      <c r="I38" s="198">
        <v>80500</v>
      </c>
      <c r="J38" s="198">
        <v>78000</v>
      </c>
      <c r="K38" s="198">
        <v>80000</v>
      </c>
      <c r="M38" s="144" t="str">
        <f t="shared" si="3"/>
        <v>323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31</v>
      </c>
      <c r="D39" s="149" t="str">
        <f t="shared" si="1"/>
        <v>Vlastiti prihodi</v>
      </c>
      <c r="E39" s="154">
        <v>3239</v>
      </c>
      <c r="F39" s="149" t="str">
        <f t="shared" si="0"/>
        <v>Ostale usluge</v>
      </c>
      <c r="G39" s="252" t="s">
        <v>197</v>
      </c>
      <c r="H39" s="149" t="str">
        <f t="shared" si="2"/>
        <v>REDOVNA DJELATNOST SVEUČILIŠTA U OSIJEKU (IZ EVIDENCIJSKIH PRIHODA)</v>
      </c>
      <c r="I39" s="198">
        <v>87000</v>
      </c>
      <c r="J39" s="198">
        <v>51000</v>
      </c>
      <c r="K39" s="198">
        <v>55000</v>
      </c>
      <c r="M39" s="144" t="str">
        <f t="shared" si="3"/>
        <v>323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31</v>
      </c>
      <c r="D40" s="149" t="str">
        <f t="shared" si="1"/>
        <v>Vlastiti prihodi</v>
      </c>
      <c r="E40" s="154">
        <v>3241</v>
      </c>
      <c r="F40" s="149" t="str">
        <f t="shared" si="0"/>
        <v>Naknade troškova osobama izvan radnog odnosa</v>
      </c>
      <c r="G40" s="252" t="s">
        <v>197</v>
      </c>
      <c r="H40" s="149" t="str">
        <f t="shared" si="2"/>
        <v>REDOVNA DJELATNOST SVEUČILIŠTA U OSIJEKU (IZ EVIDENCIJSKIH PRIHODA)</v>
      </c>
      <c r="I40" s="198">
        <v>11000</v>
      </c>
      <c r="J40" s="198">
        <v>5000</v>
      </c>
      <c r="K40" s="198">
        <v>5000</v>
      </c>
      <c r="M40" s="144" t="str">
        <f t="shared" si="3"/>
        <v>324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31</v>
      </c>
      <c r="D41" s="149" t="str">
        <f t="shared" si="1"/>
        <v>Vlastiti prihodi</v>
      </c>
      <c r="E41" s="154">
        <v>3293</v>
      </c>
      <c r="F41" s="149" t="str">
        <f t="shared" si="0"/>
        <v>Reprezentacija</v>
      </c>
      <c r="G41" s="252" t="s">
        <v>197</v>
      </c>
      <c r="H41" s="149" t="str">
        <f t="shared" si="2"/>
        <v>REDOVNA DJELATNOST SVEUČILIŠTA U OSIJEKU (IZ EVIDENCIJSKIH PRIHODA)</v>
      </c>
      <c r="I41" s="198">
        <v>9000</v>
      </c>
      <c r="J41" s="198">
        <v>6000</v>
      </c>
      <c r="K41" s="198">
        <v>6000</v>
      </c>
      <c r="M41" s="144" t="str">
        <f t="shared" si="3"/>
        <v>329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31</v>
      </c>
      <c r="D42" s="149" t="str">
        <f t="shared" si="1"/>
        <v>Vlastiti prihodi</v>
      </c>
      <c r="E42" s="154">
        <v>3294</v>
      </c>
      <c r="F42" s="149" t="str">
        <f t="shared" si="0"/>
        <v>Članarine i norme</v>
      </c>
      <c r="G42" s="252" t="s">
        <v>197</v>
      </c>
      <c r="H42" s="149" t="str">
        <f t="shared" si="2"/>
        <v>REDOVNA DJELATNOST SVEUČILIŠTA U OSIJEKU (IZ EVIDENCIJSKIH PRIHODA)</v>
      </c>
      <c r="I42" s="198">
        <v>0</v>
      </c>
      <c r="J42" s="198">
        <v>2000</v>
      </c>
      <c r="K42" s="198">
        <v>2000</v>
      </c>
      <c r="M42" s="144" t="str">
        <f t="shared" si="3"/>
        <v>329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31</v>
      </c>
      <c r="D43" s="149" t="str">
        <f t="shared" si="1"/>
        <v>Vlastiti prihodi</v>
      </c>
      <c r="E43" s="154">
        <v>3431</v>
      </c>
      <c r="F43" s="149" t="str">
        <f t="shared" si="0"/>
        <v>Bankarske usluge i usluge platnog prometa</v>
      </c>
      <c r="G43" s="252" t="s">
        <v>197</v>
      </c>
      <c r="H43" s="149" t="str">
        <f t="shared" si="2"/>
        <v>REDOVNA DJELATNOST SVEUČILIŠTA U OSIJEKU (IZ EVIDENCIJSKIH PRIHODA)</v>
      </c>
      <c r="I43" s="198">
        <v>4000</v>
      </c>
      <c r="J43" s="198">
        <v>4000</v>
      </c>
      <c r="K43" s="198">
        <v>4000</v>
      </c>
      <c r="M43" s="144" t="str">
        <f t="shared" si="3"/>
        <v>343</v>
      </c>
      <c r="N43" s="144" t="str">
        <f t="shared" si="4"/>
        <v>34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43</v>
      </c>
      <c r="D44" s="149" t="str">
        <f t="shared" si="1"/>
        <v>Ostali prihodi za posebne namjene</v>
      </c>
      <c r="E44" s="154">
        <v>3111</v>
      </c>
      <c r="F44" s="149" t="str">
        <f t="shared" si="0"/>
        <v>Plaće za redovan rad</v>
      </c>
      <c r="G44" s="252" t="s">
        <v>197</v>
      </c>
      <c r="H44" s="149" t="str">
        <f t="shared" si="2"/>
        <v>REDOVNA DJELATNOST SVEUČILIŠTA U OSIJEKU (IZ EVIDENCIJSKIH PRIHODA)</v>
      </c>
      <c r="I44" s="198">
        <v>5315000</v>
      </c>
      <c r="J44" s="198">
        <v>5625300</v>
      </c>
      <c r="K44" s="198">
        <v>5678500</v>
      </c>
      <c r="M44" s="144" t="str">
        <f t="shared" si="3"/>
        <v>311</v>
      </c>
      <c r="N44" s="144" t="str">
        <f t="shared" si="4"/>
        <v>31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43</v>
      </c>
      <c r="D45" s="149" t="str">
        <f t="shared" si="1"/>
        <v>Ostali prihodi za posebne namjene</v>
      </c>
      <c r="E45" s="154">
        <v>3121</v>
      </c>
      <c r="F45" s="149" t="str">
        <f t="shared" si="0"/>
        <v>Ostali rashodi za zaposlene</v>
      </c>
      <c r="G45" s="252" t="s">
        <v>197</v>
      </c>
      <c r="H45" s="149" t="str">
        <f t="shared" si="2"/>
        <v>REDOVNA DJELATNOST SVEUČILIŠTA U OSIJEKU (IZ EVIDENCIJSKIH PRIHODA)</v>
      </c>
      <c r="I45" s="198">
        <v>439050</v>
      </c>
      <c r="J45" s="198">
        <v>430037</v>
      </c>
      <c r="K45" s="198">
        <v>429131</v>
      </c>
      <c r="M45" s="144" t="str">
        <f t="shared" si="3"/>
        <v>312</v>
      </c>
      <c r="N45" s="144" t="str">
        <f t="shared" si="4"/>
        <v>31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43</v>
      </c>
      <c r="D46" s="149" t="str">
        <f t="shared" si="1"/>
        <v>Ostali prihodi za posebne namjene</v>
      </c>
      <c r="E46" s="154">
        <v>3132</v>
      </c>
      <c r="F46" s="149" t="str">
        <f t="shared" si="0"/>
        <v>Doprinosi za obvezno zdravstveno osiguranje</v>
      </c>
      <c r="G46" s="252" t="s">
        <v>197</v>
      </c>
      <c r="H46" s="149" t="str">
        <f t="shared" si="2"/>
        <v>REDOVNA DJELATNOST SVEUČILIŠTA U OSIJEKU (IZ EVIDENCIJSKIH PRIHODA)</v>
      </c>
      <c r="I46" s="198">
        <v>886489</v>
      </c>
      <c r="J46" s="198">
        <v>931313</v>
      </c>
      <c r="K46" s="198">
        <v>938486</v>
      </c>
      <c r="M46" s="144" t="str">
        <f t="shared" si="3"/>
        <v>313</v>
      </c>
      <c r="N46" s="144" t="str">
        <f t="shared" si="4"/>
        <v>31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43</v>
      </c>
      <c r="D47" s="149" t="str">
        <f t="shared" si="1"/>
        <v>Ostali prihodi za posebne namjene</v>
      </c>
      <c r="E47" s="154">
        <v>3211</v>
      </c>
      <c r="F47" s="149" t="str">
        <f t="shared" si="0"/>
        <v>Službena putovanja</v>
      </c>
      <c r="G47" s="252" t="s">
        <v>197</v>
      </c>
      <c r="H47" s="149" t="str">
        <f t="shared" si="2"/>
        <v>REDOVNA DJELATNOST SVEUČILIŠTA U OSIJEKU (IZ EVIDENCIJSKIH PRIHODA)</v>
      </c>
      <c r="I47" s="198">
        <v>449742</v>
      </c>
      <c r="J47" s="198">
        <v>493642</v>
      </c>
      <c r="K47" s="198">
        <v>504542</v>
      </c>
      <c r="M47" s="144" t="str">
        <f t="shared" si="3"/>
        <v>321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43</v>
      </c>
      <c r="D48" s="149" t="str">
        <f t="shared" si="1"/>
        <v>Ostali prihodi za posebne namjene</v>
      </c>
      <c r="E48" s="154">
        <v>3212</v>
      </c>
      <c r="F48" s="149" t="str">
        <f t="shared" si="0"/>
        <v>Naknade za prijevoz, za rad na terenu i odvojeni život</v>
      </c>
      <c r="G48" s="252" t="s">
        <v>197</v>
      </c>
      <c r="H48" s="149" t="str">
        <f t="shared" si="2"/>
        <v>REDOVNA DJELATNOST SVEUČILIŠTA U OSIJEKU (IZ EVIDENCIJSKIH PRIHODA)</v>
      </c>
      <c r="I48" s="198">
        <v>900</v>
      </c>
      <c r="J48" s="198">
        <v>900</v>
      </c>
      <c r="K48" s="198">
        <v>1500</v>
      </c>
      <c r="M48" s="144" t="str">
        <f t="shared" si="3"/>
        <v>321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43</v>
      </c>
      <c r="D49" s="149" t="str">
        <f t="shared" si="1"/>
        <v>Ostali prihodi za posebne namjene</v>
      </c>
      <c r="E49" s="154">
        <v>3213</v>
      </c>
      <c r="F49" s="149" t="str">
        <f t="shared" si="0"/>
        <v>Stručno usavršavanje zaposlenika</v>
      </c>
      <c r="G49" s="252" t="s">
        <v>197</v>
      </c>
      <c r="H49" s="149" t="str">
        <f t="shared" si="2"/>
        <v>REDOVNA DJELATNOST SVEUČILIŠTA U OSIJEKU (IZ EVIDENCIJSKIH PRIHODA)</v>
      </c>
      <c r="I49" s="198">
        <v>114000</v>
      </c>
      <c r="J49" s="198">
        <v>118000</v>
      </c>
      <c r="K49" s="198">
        <v>116000</v>
      </c>
      <c r="M49" s="144" t="str">
        <f t="shared" si="3"/>
        <v>321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43</v>
      </c>
      <c r="D50" s="149" t="str">
        <f t="shared" si="1"/>
        <v>Ostali prihodi za posebne namjene</v>
      </c>
      <c r="E50" s="154">
        <v>3214</v>
      </c>
      <c r="F50" s="149" t="str">
        <f t="shared" si="0"/>
        <v>Ostale naknade troškova zaposlenima</v>
      </c>
      <c r="G50" s="252" t="s">
        <v>197</v>
      </c>
      <c r="H50" s="149" t="str">
        <f t="shared" si="2"/>
        <v>REDOVNA DJELATNOST SVEUČILIŠTA U OSIJEKU (IZ EVIDENCIJSKIH PRIHODA)</v>
      </c>
      <c r="I50" s="198">
        <v>3000</v>
      </c>
      <c r="J50" s="198">
        <v>3000</v>
      </c>
      <c r="K50" s="198">
        <v>3000</v>
      </c>
      <c r="M50" s="144" t="str">
        <f t="shared" si="3"/>
        <v>321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43</v>
      </c>
      <c r="D51" s="149" t="str">
        <f t="shared" si="1"/>
        <v>Ostali prihodi za posebne namjene</v>
      </c>
      <c r="E51" s="154">
        <v>3221</v>
      </c>
      <c r="F51" s="149" t="str">
        <f t="shared" si="0"/>
        <v>Uredski materijal i ostali materijalni rashodi</v>
      </c>
      <c r="G51" s="252" t="s">
        <v>197</v>
      </c>
      <c r="H51" s="149" t="str">
        <f t="shared" si="2"/>
        <v>REDOVNA DJELATNOST SVEUČILIŠTA U OSIJEKU (IZ EVIDENCIJSKIH PRIHODA)</v>
      </c>
      <c r="I51" s="198">
        <v>203000</v>
      </c>
      <c r="J51" s="198">
        <v>203000</v>
      </c>
      <c r="K51" s="198">
        <v>213000</v>
      </c>
      <c r="M51" s="144" t="str">
        <f t="shared" si="3"/>
        <v>322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43</v>
      </c>
      <c r="D52" s="149" t="str">
        <f t="shared" si="1"/>
        <v>Ostali prihodi za posebne namjene</v>
      </c>
      <c r="E52" s="154">
        <v>3223</v>
      </c>
      <c r="F52" s="149" t="str">
        <f t="shared" si="0"/>
        <v>Energija</v>
      </c>
      <c r="G52" s="252" t="s">
        <v>197</v>
      </c>
      <c r="H52" s="149" t="str">
        <f t="shared" si="2"/>
        <v>REDOVNA DJELATNOST SVEUČILIŠTA U OSIJEKU (IZ EVIDENCIJSKIH PRIHODA)</v>
      </c>
      <c r="I52" s="198">
        <v>142000</v>
      </c>
      <c r="J52" s="198">
        <v>142000</v>
      </c>
      <c r="K52" s="198">
        <v>142000</v>
      </c>
      <c r="M52" s="144" t="str">
        <f t="shared" si="3"/>
        <v>322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43</v>
      </c>
      <c r="D53" s="149" t="str">
        <f t="shared" si="1"/>
        <v>Ostali prihodi za posebne namjene</v>
      </c>
      <c r="E53" s="154">
        <v>3224</v>
      </c>
      <c r="F53" s="149" t="str">
        <f t="shared" si="0"/>
        <v>Materijal i dijelovi za tekuće i investicijsko održavanje</v>
      </c>
      <c r="G53" s="252" t="s">
        <v>197</v>
      </c>
      <c r="H53" s="149" t="str">
        <f t="shared" si="2"/>
        <v>REDOVNA DJELATNOST SVEUČILIŠTA U OSIJEKU (IZ EVIDENCIJSKIH PRIHODA)</v>
      </c>
      <c r="I53" s="198">
        <v>50000</v>
      </c>
      <c r="J53" s="198">
        <v>50000</v>
      </c>
      <c r="K53" s="198">
        <v>50000</v>
      </c>
      <c r="M53" s="144" t="str">
        <f t="shared" si="3"/>
        <v>322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43</v>
      </c>
      <c r="D54" s="149" t="str">
        <f t="shared" si="1"/>
        <v>Ostali prihodi za posebne namjene</v>
      </c>
      <c r="E54" s="154">
        <v>3225</v>
      </c>
      <c r="F54" s="149" t="str">
        <f t="shared" si="0"/>
        <v>Sitni inventar i auto gume</v>
      </c>
      <c r="G54" s="252" t="s">
        <v>197</v>
      </c>
      <c r="H54" s="149" t="str">
        <f t="shared" si="2"/>
        <v>REDOVNA DJELATNOST SVEUČILIŠTA U OSIJEKU (IZ EVIDENCIJSKIH PRIHODA)</v>
      </c>
      <c r="I54" s="198">
        <v>7000</v>
      </c>
      <c r="J54" s="198">
        <v>7000</v>
      </c>
      <c r="K54" s="198">
        <v>7000</v>
      </c>
      <c r="M54" s="144" t="str">
        <f t="shared" si="3"/>
        <v>322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43</v>
      </c>
      <c r="D55" s="149" t="str">
        <f t="shared" si="1"/>
        <v>Ostali prihodi za posebne namjene</v>
      </c>
      <c r="E55" s="154">
        <v>3227</v>
      </c>
      <c r="F55" s="149" t="str">
        <f t="shared" si="0"/>
        <v>Službena, radna i zaštitna odjeća i obuća</v>
      </c>
      <c r="G55" s="252" t="s">
        <v>197</v>
      </c>
      <c r="H55" s="149" t="str">
        <f t="shared" si="2"/>
        <v>REDOVNA DJELATNOST SVEUČILIŠTA U OSIJEKU (IZ EVIDENCIJSKIH PRIHODA)</v>
      </c>
      <c r="I55" s="198">
        <v>8000</v>
      </c>
      <c r="J55" s="198">
        <v>8000</v>
      </c>
      <c r="K55" s="198">
        <v>8000</v>
      </c>
      <c r="M55" s="144" t="str">
        <f t="shared" si="3"/>
        <v>322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43</v>
      </c>
      <c r="D56" s="149" t="str">
        <f t="shared" si="1"/>
        <v>Ostali prihodi za posebne namjene</v>
      </c>
      <c r="E56" s="154">
        <v>3231</v>
      </c>
      <c r="F56" s="149" t="str">
        <f t="shared" si="0"/>
        <v>Usluge telefona, pošte i prijevoza</v>
      </c>
      <c r="G56" s="252" t="s">
        <v>197</v>
      </c>
      <c r="H56" s="149" t="str">
        <f t="shared" si="2"/>
        <v>REDOVNA DJELATNOST SVEUČILIŠTA U OSIJEKU (IZ EVIDENCIJSKIH PRIHODA)</v>
      </c>
      <c r="I56" s="198">
        <v>114000</v>
      </c>
      <c r="J56" s="198">
        <v>115000</v>
      </c>
      <c r="K56" s="198">
        <v>114000</v>
      </c>
      <c r="M56" s="144" t="str">
        <f t="shared" si="3"/>
        <v>323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43</v>
      </c>
      <c r="D57" s="149" t="str">
        <f t="shared" si="1"/>
        <v>Ostali prihodi za posebne namjene</v>
      </c>
      <c r="E57" s="154">
        <v>3232</v>
      </c>
      <c r="F57" s="149" t="str">
        <f t="shared" si="0"/>
        <v>Usluge tekućeg i investicijskog održavanja</v>
      </c>
      <c r="G57" s="252" t="s">
        <v>197</v>
      </c>
      <c r="H57" s="149" t="str">
        <f t="shared" si="2"/>
        <v>REDOVNA DJELATNOST SVEUČILIŠTA U OSIJEKU (IZ EVIDENCIJSKIH PRIHODA)</v>
      </c>
      <c r="I57" s="198">
        <v>558000</v>
      </c>
      <c r="J57" s="198">
        <v>309140</v>
      </c>
      <c r="K57" s="198">
        <v>308140</v>
      </c>
      <c r="M57" s="144" t="str">
        <f t="shared" si="3"/>
        <v>323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43</v>
      </c>
      <c r="D58" s="149" t="str">
        <f t="shared" si="1"/>
        <v>Ostali prihodi za posebne namjene</v>
      </c>
      <c r="E58" s="154">
        <v>3233</v>
      </c>
      <c r="F58" s="149" t="str">
        <f t="shared" si="0"/>
        <v>Usluge promidžbe i informiranja</v>
      </c>
      <c r="G58" s="252" t="s">
        <v>197</v>
      </c>
      <c r="H58" s="149" t="str">
        <f t="shared" si="2"/>
        <v>REDOVNA DJELATNOST SVEUČILIŠTA U OSIJEKU (IZ EVIDENCIJSKIH PRIHODA)</v>
      </c>
      <c r="I58" s="198">
        <v>107400</v>
      </c>
      <c r="J58" s="198">
        <v>127500</v>
      </c>
      <c r="K58" s="198">
        <v>127500</v>
      </c>
      <c r="M58" s="144" t="str">
        <f t="shared" si="3"/>
        <v>323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43</v>
      </c>
      <c r="D59" s="149" t="str">
        <f t="shared" si="1"/>
        <v>Ostali prihodi za posebne namjene</v>
      </c>
      <c r="E59" s="154">
        <v>3234</v>
      </c>
      <c r="F59" s="149" t="str">
        <f t="shared" si="0"/>
        <v>Komunalne usluge</v>
      </c>
      <c r="G59" s="252" t="s">
        <v>197</v>
      </c>
      <c r="H59" s="149" t="str">
        <f t="shared" si="2"/>
        <v>REDOVNA DJELATNOST SVEUČILIŠTA U OSIJEKU (IZ EVIDENCIJSKIH PRIHODA)</v>
      </c>
      <c r="I59" s="198">
        <v>52500</v>
      </c>
      <c r="J59" s="198">
        <v>55500</v>
      </c>
      <c r="K59" s="198">
        <v>52500</v>
      </c>
      <c r="M59" s="144" t="str">
        <f t="shared" si="3"/>
        <v>323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43</v>
      </c>
      <c r="D60" s="149" t="str">
        <f t="shared" si="1"/>
        <v>Ostali prihodi za posebne namjene</v>
      </c>
      <c r="E60" s="154">
        <v>3235</v>
      </c>
      <c r="F60" s="149" t="str">
        <f t="shared" si="0"/>
        <v>Zakupnine i najamnine</v>
      </c>
      <c r="G60" s="252" t="s">
        <v>197</v>
      </c>
      <c r="H60" s="149" t="str">
        <f t="shared" si="2"/>
        <v>REDOVNA DJELATNOST SVEUČILIŠTA U OSIJEKU (IZ EVIDENCIJSKIH PRIHODA)</v>
      </c>
      <c r="I60" s="198">
        <v>181100</v>
      </c>
      <c r="J60" s="198">
        <v>153805</v>
      </c>
      <c r="K60" s="198">
        <v>163805</v>
      </c>
      <c r="M60" s="144" t="str">
        <f t="shared" si="3"/>
        <v>323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43</v>
      </c>
      <c r="D61" s="149" t="str">
        <f t="shared" si="1"/>
        <v>Ostali prihodi za posebne namjene</v>
      </c>
      <c r="E61" s="154">
        <v>3236</v>
      </c>
      <c r="F61" s="149" t="str">
        <f t="shared" si="0"/>
        <v>Zdravstvene i veterinarske usluge</v>
      </c>
      <c r="G61" s="252" t="s">
        <v>197</v>
      </c>
      <c r="H61" s="149" t="str">
        <f t="shared" si="2"/>
        <v>REDOVNA DJELATNOST SVEUČILIŠTA U OSIJEKU (IZ EVIDENCIJSKIH PRIHODA)</v>
      </c>
      <c r="I61" s="198">
        <v>134000</v>
      </c>
      <c r="J61" s="198">
        <v>133500</v>
      </c>
      <c r="K61" s="198">
        <v>133500</v>
      </c>
      <c r="M61" s="144" t="str">
        <f t="shared" si="3"/>
        <v>323</v>
      </c>
      <c r="N61" s="144" t="str">
        <f t="shared" si="4"/>
        <v>32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43</v>
      </c>
      <c r="D62" s="149" t="str">
        <f t="shared" si="1"/>
        <v>Ostali prihodi za posebne namjene</v>
      </c>
      <c r="E62" s="154">
        <v>3237</v>
      </c>
      <c r="F62" s="149" t="str">
        <f t="shared" si="0"/>
        <v>Intelektualne i osobne usluge</v>
      </c>
      <c r="G62" s="252" t="s">
        <v>197</v>
      </c>
      <c r="H62" s="149" t="str">
        <f t="shared" si="2"/>
        <v>REDOVNA DJELATNOST SVEUČILIŠTA U OSIJEKU (IZ EVIDENCIJSKIH PRIHODA)</v>
      </c>
      <c r="I62" s="198">
        <v>525200</v>
      </c>
      <c r="J62" s="198">
        <v>501700</v>
      </c>
      <c r="K62" s="198">
        <v>554700</v>
      </c>
      <c r="M62" s="144" t="str">
        <f t="shared" si="3"/>
        <v>323</v>
      </c>
      <c r="N62" s="144" t="str">
        <f t="shared" si="4"/>
        <v>32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43</v>
      </c>
      <c r="D63" s="149" t="str">
        <f t="shared" si="1"/>
        <v>Ostali prihodi za posebne namjene</v>
      </c>
      <c r="E63" s="154">
        <v>3238</v>
      </c>
      <c r="F63" s="149" t="str">
        <f t="shared" si="0"/>
        <v>Računalne usluge</v>
      </c>
      <c r="G63" s="252" t="s">
        <v>197</v>
      </c>
      <c r="H63" s="149" t="str">
        <f t="shared" si="2"/>
        <v>REDOVNA DJELATNOST SVEUČILIŠTA U OSIJEKU (IZ EVIDENCIJSKIH PRIHODA)</v>
      </c>
      <c r="I63" s="198">
        <v>49000</v>
      </c>
      <c r="J63" s="198">
        <v>50000</v>
      </c>
      <c r="K63" s="198">
        <v>49000</v>
      </c>
      <c r="M63" s="144" t="str">
        <f t="shared" si="3"/>
        <v>323</v>
      </c>
      <c r="N63" s="144" t="str">
        <f t="shared" si="4"/>
        <v>32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43</v>
      </c>
      <c r="D64" s="149" t="str">
        <f t="shared" si="1"/>
        <v>Ostali prihodi za posebne namjene</v>
      </c>
      <c r="E64" s="154">
        <v>3239</v>
      </c>
      <c r="F64" s="149" t="str">
        <f t="shared" si="0"/>
        <v>Ostale usluge</v>
      </c>
      <c r="G64" s="252" t="s">
        <v>197</v>
      </c>
      <c r="H64" s="149" t="str">
        <f t="shared" si="2"/>
        <v>REDOVNA DJELATNOST SVEUČILIŠTA U OSIJEKU (IZ EVIDENCIJSKIH PRIHODA)</v>
      </c>
      <c r="I64" s="198">
        <v>103800</v>
      </c>
      <c r="J64" s="198">
        <v>177000</v>
      </c>
      <c r="K64" s="198">
        <v>171000</v>
      </c>
      <c r="M64" s="144" t="str">
        <f t="shared" si="3"/>
        <v>323</v>
      </c>
      <c r="N64" s="144" t="str">
        <f t="shared" si="4"/>
        <v>32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43</v>
      </c>
      <c r="D65" s="149" t="str">
        <f t="shared" si="1"/>
        <v>Ostali prihodi za posebne namjene</v>
      </c>
      <c r="E65" s="154">
        <v>3241</v>
      </c>
      <c r="F65" s="149" t="str">
        <f t="shared" si="0"/>
        <v>Naknade troškova osobama izvan radnog odnosa</v>
      </c>
      <c r="G65" s="252" t="s">
        <v>197</v>
      </c>
      <c r="H65" s="149" t="str">
        <f t="shared" si="2"/>
        <v>REDOVNA DJELATNOST SVEUČILIŠTA U OSIJEKU (IZ EVIDENCIJSKIH PRIHODA)</v>
      </c>
      <c r="I65" s="198">
        <v>199000</v>
      </c>
      <c r="J65" s="198">
        <v>235000</v>
      </c>
      <c r="K65" s="198">
        <v>232000</v>
      </c>
      <c r="M65" s="144" t="str">
        <f t="shared" si="3"/>
        <v>324</v>
      </c>
      <c r="N65" s="144" t="str">
        <f t="shared" si="4"/>
        <v>32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43</v>
      </c>
      <c r="D66" s="149" t="str">
        <f t="shared" si="1"/>
        <v>Ostali prihodi za posebne namjene</v>
      </c>
      <c r="E66" s="154">
        <v>3293</v>
      </c>
      <c r="F66" s="149" t="str">
        <f t="shared" si="0"/>
        <v>Reprezentacija</v>
      </c>
      <c r="G66" s="252" t="s">
        <v>197</v>
      </c>
      <c r="H66" s="149" t="str">
        <f t="shared" si="2"/>
        <v>REDOVNA DJELATNOST SVEUČILIŠTA U OSIJEKU (IZ EVIDENCIJSKIH PRIHODA)</v>
      </c>
      <c r="I66" s="198">
        <v>163000</v>
      </c>
      <c r="J66" s="198">
        <v>178700</v>
      </c>
      <c r="K66" s="198">
        <v>181000</v>
      </c>
      <c r="M66" s="144" t="str">
        <f t="shared" si="3"/>
        <v>329</v>
      </c>
      <c r="N66" s="144" t="str">
        <f t="shared" si="4"/>
        <v>32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43</v>
      </c>
      <c r="D67" s="149" t="str">
        <f t="shared" si="1"/>
        <v>Ostali prihodi za posebne namjene</v>
      </c>
      <c r="E67" s="154">
        <v>3294</v>
      </c>
      <c r="F67" s="149" t="str">
        <f t="shared" ref="F67:F130" si="11">IFERROR(VLOOKUP(E67,$R$5:$T$129,2,FALSE),"")</f>
        <v>Članarine i norme</v>
      </c>
      <c r="G67" s="252" t="s">
        <v>197</v>
      </c>
      <c r="H67" s="149" t="str">
        <f t="shared" si="2"/>
        <v>REDOVNA DJELATNOST SVEUČILIŠTA U OSIJEKU (IZ EVIDENCIJSKIH PRIHODA)</v>
      </c>
      <c r="I67" s="198">
        <v>43000</v>
      </c>
      <c r="J67" s="198">
        <v>36000</v>
      </c>
      <c r="K67" s="198">
        <v>41000</v>
      </c>
      <c r="M67" s="144" t="str">
        <f t="shared" si="3"/>
        <v>329</v>
      </c>
      <c r="N67" s="144" t="str">
        <f t="shared" si="4"/>
        <v>32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43</v>
      </c>
      <c r="D68" s="149" t="str">
        <f t="shared" ref="D68:D131" si="12">IFERROR(VLOOKUP(C68,$O$6:$P$16,2,FALSE),"")</f>
        <v>Ostali prihodi za posebne namjene</v>
      </c>
      <c r="E68" s="154">
        <v>3295</v>
      </c>
      <c r="F68" s="149" t="str">
        <f t="shared" si="11"/>
        <v>Pristojbe i naknade</v>
      </c>
      <c r="G68" s="252" t="s">
        <v>197</v>
      </c>
      <c r="H68" s="149" t="str">
        <f t="shared" ref="H68:H131" si="13">IFERROR(VLOOKUP(G68,$X$6:$Y$50,2,FALSE),"")</f>
        <v>REDOVNA DJELATNOST SVEUČILIŠTA U OSIJEKU (IZ EVIDENCIJSKIH PRIHODA)</v>
      </c>
      <c r="I68" s="198">
        <v>4000</v>
      </c>
      <c r="J68" s="198">
        <v>4000</v>
      </c>
      <c r="K68" s="198">
        <v>4000</v>
      </c>
      <c r="M68" s="144" t="str">
        <f t="shared" ref="M68:M131" si="14">LEFT(E68,3)</f>
        <v>329</v>
      </c>
      <c r="N68" s="144" t="str">
        <f t="shared" ref="N68:N131" si="15">LEFT(E68,2)</f>
        <v>32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43</v>
      </c>
      <c r="D69" s="149" t="str">
        <f t="shared" si="12"/>
        <v>Ostali prihodi za posebne namjene</v>
      </c>
      <c r="E69" s="154">
        <v>3299</v>
      </c>
      <c r="F69" s="149" t="str">
        <f t="shared" si="11"/>
        <v>Ostali nespomenuti rashodi poslovanja</v>
      </c>
      <c r="G69" s="252" t="s">
        <v>197</v>
      </c>
      <c r="H69" s="149" t="str">
        <f t="shared" si="13"/>
        <v>REDOVNA DJELATNOST SVEUČILIŠTA U OSIJEKU (IZ EVIDENCIJSKIH PRIHODA)</v>
      </c>
      <c r="I69" s="198">
        <v>617000</v>
      </c>
      <c r="J69" s="198">
        <v>617000</v>
      </c>
      <c r="K69" s="198">
        <v>617000</v>
      </c>
      <c r="M69" s="144" t="str">
        <f t="shared" si="14"/>
        <v>329</v>
      </c>
      <c r="N69" s="144" t="str">
        <f t="shared" si="15"/>
        <v>32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43</v>
      </c>
      <c r="D70" s="149" t="str">
        <f t="shared" si="12"/>
        <v>Ostali prihodi za posebne namjene</v>
      </c>
      <c r="E70" s="154">
        <v>3431</v>
      </c>
      <c r="F70" s="149" t="str">
        <f t="shared" si="11"/>
        <v>Bankarske usluge i usluge platnog prometa</v>
      </c>
      <c r="G70" s="252" t="s">
        <v>197</v>
      </c>
      <c r="H70" s="149" t="str">
        <f t="shared" si="13"/>
        <v>REDOVNA DJELATNOST SVEUČILIŠTA U OSIJEKU (IZ EVIDENCIJSKIH PRIHODA)</v>
      </c>
      <c r="I70" s="198">
        <v>138000</v>
      </c>
      <c r="J70" s="198">
        <v>138000</v>
      </c>
      <c r="K70" s="198">
        <v>138000</v>
      </c>
      <c r="M70" s="144" t="str">
        <f t="shared" si="14"/>
        <v>343</v>
      </c>
      <c r="N70" s="144" t="str">
        <f t="shared" si="15"/>
        <v>34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43</v>
      </c>
      <c r="D71" s="149" t="str">
        <f t="shared" si="12"/>
        <v>Ostali prihodi za posebne namjene</v>
      </c>
      <c r="E71" s="154">
        <v>3434</v>
      </c>
      <c r="F71" s="149" t="str">
        <f t="shared" si="11"/>
        <v>Ostali nespomenuti financijski rashodi</v>
      </c>
      <c r="G71" s="252" t="s">
        <v>197</v>
      </c>
      <c r="H71" s="149" t="str">
        <f t="shared" si="13"/>
        <v>REDOVNA DJELATNOST SVEUČILIŠTA U OSIJEKU (IZ EVIDENCIJSKIH PRIHODA)</v>
      </c>
      <c r="I71" s="198">
        <v>1000</v>
      </c>
      <c r="J71" s="198">
        <v>1000</v>
      </c>
      <c r="K71" s="198">
        <v>1000</v>
      </c>
      <c r="M71" s="144" t="str">
        <f t="shared" si="14"/>
        <v>343</v>
      </c>
      <c r="N71" s="144" t="str">
        <f t="shared" si="15"/>
        <v>34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43</v>
      </c>
      <c r="D72" s="149" t="str">
        <f t="shared" si="12"/>
        <v>Ostali prihodi za posebne namjene</v>
      </c>
      <c r="E72" s="154">
        <v>3433</v>
      </c>
      <c r="F72" s="149" t="str">
        <f t="shared" si="11"/>
        <v>Zatezne kamate</v>
      </c>
      <c r="G72" s="252" t="s">
        <v>197</v>
      </c>
      <c r="H72" s="149" t="str">
        <f t="shared" si="13"/>
        <v>REDOVNA DJELATNOST SVEUČILIŠTA U OSIJEKU (IZ EVIDENCIJSKIH PRIHODA)</v>
      </c>
      <c r="I72" s="198">
        <v>4200</v>
      </c>
      <c r="J72" s="198">
        <v>4000</v>
      </c>
      <c r="K72" s="198">
        <v>4000</v>
      </c>
      <c r="M72" s="144" t="str">
        <f t="shared" si="14"/>
        <v>343</v>
      </c>
      <c r="N72" s="144" t="str">
        <f t="shared" si="15"/>
        <v>34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43</v>
      </c>
      <c r="D73" s="149" t="str">
        <f t="shared" si="12"/>
        <v>Ostali prihodi za posebne namjene</v>
      </c>
      <c r="E73" s="154">
        <v>3721</v>
      </c>
      <c r="F73" s="149" t="str">
        <f t="shared" si="11"/>
        <v>Naknade građanima i kućanstvima u novcu</v>
      </c>
      <c r="G73" s="252" t="s">
        <v>197</v>
      </c>
      <c r="H73" s="149" t="str">
        <f t="shared" si="13"/>
        <v>REDOVNA DJELATNOST SVEUČILIŠTA U OSIJEKU (IZ EVIDENCIJSKIH PRIHODA)</v>
      </c>
      <c r="I73" s="198">
        <v>25000</v>
      </c>
      <c r="J73" s="198">
        <v>25000</v>
      </c>
      <c r="K73" s="198">
        <v>25000</v>
      </c>
      <c r="M73" s="144" t="str">
        <f t="shared" si="14"/>
        <v>372</v>
      </c>
      <c r="N73" s="144" t="str">
        <f t="shared" si="15"/>
        <v>37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43</v>
      </c>
      <c r="D74" s="149" t="str">
        <f t="shared" si="12"/>
        <v>Ostali prihodi za posebne namjene</v>
      </c>
      <c r="E74" s="154">
        <v>3811</v>
      </c>
      <c r="F74" s="149" t="str">
        <f t="shared" si="11"/>
        <v>Tekuće donacije u novcu</v>
      </c>
      <c r="G74" s="252" t="s">
        <v>197</v>
      </c>
      <c r="H74" s="149" t="str">
        <f t="shared" si="13"/>
        <v>REDOVNA DJELATNOST SVEUČILIŠTA U OSIJEKU (IZ EVIDENCIJSKIH PRIHODA)</v>
      </c>
      <c r="I74" s="198">
        <v>32000</v>
      </c>
      <c r="J74" s="198">
        <v>32000</v>
      </c>
      <c r="K74" s="198">
        <v>32000</v>
      </c>
      <c r="M74" s="144" t="str">
        <f t="shared" si="14"/>
        <v>381</v>
      </c>
      <c r="N74" s="144" t="str">
        <f t="shared" si="15"/>
        <v>38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43</v>
      </c>
      <c r="D75" s="149" t="str">
        <f t="shared" si="12"/>
        <v>Ostali prihodi za posebne namjene</v>
      </c>
      <c r="E75" s="154">
        <v>3812</v>
      </c>
      <c r="F75" s="149" t="str">
        <f t="shared" si="11"/>
        <v>Tekuće donacije u naravi</v>
      </c>
      <c r="G75" s="252" t="s">
        <v>197</v>
      </c>
      <c r="H75" s="149" t="str">
        <f t="shared" si="13"/>
        <v>REDOVNA DJELATNOST SVEUČILIŠTA U OSIJEKU (IZ EVIDENCIJSKIH PRIHODA)</v>
      </c>
      <c r="I75" s="198">
        <v>3000</v>
      </c>
      <c r="J75" s="198">
        <v>3000</v>
      </c>
      <c r="K75" s="198">
        <v>3000</v>
      </c>
      <c r="M75" s="144" t="str">
        <f t="shared" si="14"/>
        <v>381</v>
      </c>
      <c r="N75" s="144" t="str">
        <f t="shared" si="15"/>
        <v>38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43</v>
      </c>
      <c r="D76" s="149" t="str">
        <f t="shared" si="12"/>
        <v>Ostali prihodi za posebne namjene</v>
      </c>
      <c r="E76" s="154">
        <v>4221</v>
      </c>
      <c r="F76" s="149" t="str">
        <f t="shared" si="11"/>
        <v>Uredska oprema i namještaj</v>
      </c>
      <c r="G76" s="252" t="s">
        <v>197</v>
      </c>
      <c r="H76" s="149" t="str">
        <f t="shared" si="13"/>
        <v>REDOVNA DJELATNOST SVEUČILIŠTA U OSIJEKU (IZ EVIDENCIJSKIH PRIHODA)</v>
      </c>
      <c r="I76" s="198">
        <v>197500</v>
      </c>
      <c r="J76" s="198">
        <v>213000</v>
      </c>
      <c r="K76" s="198">
        <v>189000</v>
      </c>
      <c r="M76" s="144" t="str">
        <f t="shared" si="14"/>
        <v>422</v>
      </c>
      <c r="N76" s="144" t="str">
        <f t="shared" si="15"/>
        <v>42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43</v>
      </c>
      <c r="D77" s="149" t="str">
        <f t="shared" si="12"/>
        <v>Ostali prihodi za posebne namjene</v>
      </c>
      <c r="E77" s="154">
        <v>4222</v>
      </c>
      <c r="F77" s="149" t="str">
        <f t="shared" si="11"/>
        <v>Komunikacijska oprema</v>
      </c>
      <c r="G77" s="252" t="s">
        <v>197</v>
      </c>
      <c r="H77" s="149" t="str">
        <f t="shared" si="13"/>
        <v>REDOVNA DJELATNOST SVEUČILIŠTA U OSIJEKU (IZ EVIDENCIJSKIH PRIHODA)</v>
      </c>
      <c r="I77" s="198">
        <v>2000</v>
      </c>
      <c r="J77" s="198">
        <v>3000</v>
      </c>
      <c r="K77" s="198">
        <v>2000</v>
      </c>
      <c r="M77" s="144" t="str">
        <f t="shared" si="14"/>
        <v>422</v>
      </c>
      <c r="N77" s="144" t="str">
        <f t="shared" si="15"/>
        <v>42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43</v>
      </c>
      <c r="D78" s="149" t="str">
        <f t="shared" si="12"/>
        <v>Ostali prihodi za posebne namjene</v>
      </c>
      <c r="E78" s="154">
        <v>4223</v>
      </c>
      <c r="F78" s="149" t="str">
        <f t="shared" si="11"/>
        <v>Oprema za održavanje i zaštitu</v>
      </c>
      <c r="G78" s="252" t="s">
        <v>197</v>
      </c>
      <c r="H78" s="149" t="str">
        <f t="shared" si="13"/>
        <v>REDOVNA DJELATNOST SVEUČILIŠTA U OSIJEKU (IZ EVIDENCIJSKIH PRIHODA)</v>
      </c>
      <c r="I78" s="198">
        <v>20000</v>
      </c>
      <c r="J78" s="198">
        <v>20000</v>
      </c>
      <c r="K78" s="198">
        <v>20000</v>
      </c>
      <c r="M78" s="144" t="str">
        <f t="shared" si="14"/>
        <v>422</v>
      </c>
      <c r="N78" s="144" t="str">
        <f t="shared" si="15"/>
        <v>42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43</v>
      </c>
      <c r="D79" s="149" t="str">
        <f t="shared" si="12"/>
        <v>Ostali prihodi za posebne namjene</v>
      </c>
      <c r="E79" s="154">
        <v>4225</v>
      </c>
      <c r="F79" s="149" t="str">
        <f t="shared" si="11"/>
        <v>Instrumenti, uređaji i strojevi</v>
      </c>
      <c r="G79" s="252" t="s">
        <v>197</v>
      </c>
      <c r="H79" s="149" t="str">
        <f t="shared" si="13"/>
        <v>REDOVNA DJELATNOST SVEUČILIŠTA U OSIJEKU (IZ EVIDENCIJSKIH PRIHODA)</v>
      </c>
      <c r="I79" s="198">
        <v>30000</v>
      </c>
      <c r="J79" s="198">
        <v>30000</v>
      </c>
      <c r="K79" s="198">
        <v>30000</v>
      </c>
      <c r="M79" s="144" t="str">
        <f t="shared" si="14"/>
        <v>422</v>
      </c>
      <c r="N79" s="144" t="str">
        <f t="shared" si="15"/>
        <v>42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43</v>
      </c>
      <c r="D80" s="149" t="str">
        <f t="shared" si="12"/>
        <v>Ostali prihodi za posebne namjene</v>
      </c>
      <c r="E80" s="154">
        <v>4241</v>
      </c>
      <c r="F80" s="149" t="str">
        <f t="shared" si="11"/>
        <v>Knjige</v>
      </c>
      <c r="G80" s="252" t="s">
        <v>197</v>
      </c>
      <c r="H80" s="149" t="str">
        <f t="shared" si="13"/>
        <v>REDOVNA DJELATNOST SVEUČILIŠTA U OSIJEKU (IZ EVIDENCIJSKIH PRIHODA)</v>
      </c>
      <c r="I80" s="198">
        <v>151000</v>
      </c>
      <c r="J80" s="198">
        <v>155000</v>
      </c>
      <c r="K80" s="198">
        <v>155000</v>
      </c>
      <c r="M80" s="144" t="str">
        <f t="shared" si="14"/>
        <v>424</v>
      </c>
      <c r="N80" s="144" t="str">
        <f t="shared" si="15"/>
        <v>42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>08006</v>
      </c>
      <c r="B81" s="148" t="str">
        <f>IF(C81="","",VLOOKUP('Opći dio'!$C$3,'Opći dio'!$L$6:$U$135,9,FALSE))</f>
        <v>Sveučilišta i veleučilišta u Republici Hrvatskoj</v>
      </c>
      <c r="C81" s="154">
        <v>43</v>
      </c>
      <c r="D81" s="149" t="str">
        <f t="shared" si="12"/>
        <v>Ostali prihodi za posebne namjene</v>
      </c>
      <c r="E81" s="154">
        <v>4262</v>
      </c>
      <c r="F81" s="149" t="str">
        <f t="shared" si="11"/>
        <v>Ulaganja u računalne programe</v>
      </c>
      <c r="G81" s="252" t="s">
        <v>197</v>
      </c>
      <c r="H81" s="149" t="str">
        <f t="shared" si="13"/>
        <v>REDOVNA DJELATNOST SVEUČILIŠTA U OSIJEKU (IZ EVIDENCIJSKIH PRIHODA)</v>
      </c>
      <c r="I81" s="198">
        <v>5000</v>
      </c>
      <c r="J81" s="198">
        <v>5000</v>
      </c>
      <c r="K81" s="198">
        <v>5000</v>
      </c>
      <c r="M81" s="144" t="str">
        <f t="shared" si="14"/>
        <v>426</v>
      </c>
      <c r="N81" s="144" t="str">
        <f t="shared" si="15"/>
        <v>42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>08006</v>
      </c>
      <c r="B82" s="148" t="str">
        <f>IF(C82="","",VLOOKUP('Opći dio'!$C$3,'Opći dio'!$L$6:$U$135,9,FALSE))</f>
        <v>Sveučilišta i veleučilišta u Republici Hrvatskoj</v>
      </c>
      <c r="C82" s="154">
        <v>43</v>
      </c>
      <c r="D82" s="149" t="str">
        <f t="shared" si="12"/>
        <v>Ostali prihodi za posebne namjene</v>
      </c>
      <c r="E82" s="154">
        <v>4212</v>
      </c>
      <c r="F82" s="149" t="str">
        <f t="shared" si="11"/>
        <v>Poslovni objekti</v>
      </c>
      <c r="G82" s="252" t="s">
        <v>197</v>
      </c>
      <c r="H82" s="149" t="str">
        <f t="shared" si="13"/>
        <v>REDOVNA DJELATNOST SVEUČILIŠTA U OSIJEKU (IZ EVIDENCIJSKIH PRIHODA)</v>
      </c>
      <c r="I82" s="198">
        <v>5800000</v>
      </c>
      <c r="J82" s="198">
        <v>0</v>
      </c>
      <c r="K82" s="198">
        <v>0</v>
      </c>
      <c r="M82" s="144" t="str">
        <f t="shared" si="14"/>
        <v>421</v>
      </c>
      <c r="N82" s="144" t="str">
        <f t="shared" si="15"/>
        <v>42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51</v>
      </c>
      <c r="D83" s="149" t="str">
        <f t="shared" si="12"/>
        <v>Pomoći EU</v>
      </c>
      <c r="E83" s="154">
        <v>3111</v>
      </c>
      <c r="F83" s="149" t="str">
        <f t="shared" si="11"/>
        <v>Plaće za redovan rad</v>
      </c>
      <c r="G83" s="252" t="s">
        <v>111</v>
      </c>
      <c r="H83" s="149" t="str">
        <f t="shared" si="13"/>
        <v>EU PROJEKTI SVEUČILIŠTA U OSIJEKU (IZ EVIDENCIJSKIH PRIHODA)</v>
      </c>
      <c r="I83" s="198">
        <f>112400+101600</f>
        <v>214000</v>
      </c>
      <c r="J83" s="198">
        <v>0</v>
      </c>
      <c r="K83" s="198">
        <v>0</v>
      </c>
      <c r="M83" s="144" t="str">
        <f t="shared" si="14"/>
        <v>311</v>
      </c>
      <c r="N83" s="144" t="str">
        <f t="shared" si="15"/>
        <v>31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52</v>
      </c>
      <c r="D84" s="149" t="str">
        <f t="shared" si="12"/>
        <v>Ostale pomoći</v>
      </c>
      <c r="E84" s="154">
        <v>3111</v>
      </c>
      <c r="F84" s="149" t="str">
        <f t="shared" si="11"/>
        <v>Plaće za redovan rad</v>
      </c>
      <c r="G84" s="252" t="s">
        <v>111</v>
      </c>
      <c r="H84" s="149" t="str">
        <f t="shared" si="13"/>
        <v>EU PROJEKTI SVEUČILIŠTA U OSIJEKU (IZ EVIDENCIJSKIH PRIHODA)</v>
      </c>
      <c r="I84" s="198">
        <v>14500</v>
      </c>
      <c r="J84" s="198">
        <v>9200</v>
      </c>
      <c r="K84" s="198">
        <v>3800</v>
      </c>
      <c r="M84" s="144" t="str">
        <f t="shared" si="14"/>
        <v>311</v>
      </c>
      <c r="N84" s="144" t="str">
        <f t="shared" si="15"/>
        <v>31</v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43</v>
      </c>
      <c r="D85" s="149" t="str">
        <f t="shared" si="12"/>
        <v>Ostali prihodi za posebne namjene</v>
      </c>
      <c r="E85" s="154">
        <v>3111</v>
      </c>
      <c r="F85" s="149" t="str">
        <f t="shared" si="11"/>
        <v>Plaće za redovan rad</v>
      </c>
      <c r="G85" s="252" t="s">
        <v>111</v>
      </c>
      <c r="H85" s="149" t="str">
        <f t="shared" si="13"/>
        <v>EU PROJEKTI SVEUČILIŠTA U OSIJEKU (IZ EVIDENCIJSKIH PRIHODA)</v>
      </c>
      <c r="I85" s="198">
        <f>28000+25000</f>
        <v>53000</v>
      </c>
      <c r="J85" s="198"/>
      <c r="K85" s="198"/>
      <c r="M85" s="144" t="str">
        <f t="shared" si="14"/>
        <v>311</v>
      </c>
      <c r="N85" s="144" t="str">
        <f t="shared" si="15"/>
        <v>31</v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61</v>
      </c>
      <c r="D86" s="149" t="str">
        <f t="shared" si="12"/>
        <v>Donacije</v>
      </c>
      <c r="E86" s="154">
        <v>3111</v>
      </c>
      <c r="F86" s="149" t="str">
        <f t="shared" si="11"/>
        <v>Plaće za redovan rad</v>
      </c>
      <c r="G86" s="252" t="s">
        <v>111</v>
      </c>
      <c r="H86" s="149" t="str">
        <f t="shared" si="13"/>
        <v>EU PROJEKTI SVEUČILIŠTA U OSIJEKU (IZ EVIDENCIJSKIH PRIHODA)</v>
      </c>
      <c r="I86" s="198">
        <v>108700</v>
      </c>
      <c r="J86" s="198">
        <v>108700</v>
      </c>
      <c r="K86" s="198">
        <v>81700</v>
      </c>
      <c r="M86" s="144" t="str">
        <f t="shared" si="14"/>
        <v>311</v>
      </c>
      <c r="N86" s="144" t="str">
        <f t="shared" si="15"/>
        <v>31</v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51</v>
      </c>
      <c r="D87" s="149" t="str">
        <f t="shared" si="12"/>
        <v>Pomoći EU</v>
      </c>
      <c r="E87" s="154">
        <v>3132</v>
      </c>
      <c r="F87" s="149" t="str">
        <f t="shared" si="11"/>
        <v>Doprinosi za obvezno zdravstveno osiguranje</v>
      </c>
      <c r="G87" s="252" t="s">
        <v>111</v>
      </c>
      <c r="H87" s="149" t="str">
        <f t="shared" si="13"/>
        <v>EU PROJEKTI SVEUČILIŠTA U OSIJEKU (IZ EVIDENCIJSKIH PRIHODA)</v>
      </c>
      <c r="I87" s="198">
        <f>17800+16700</f>
        <v>34500</v>
      </c>
      <c r="J87" s="198"/>
      <c r="K87" s="198"/>
      <c r="M87" s="144" t="str">
        <f t="shared" si="14"/>
        <v>313</v>
      </c>
      <c r="N87" s="144" t="str">
        <f t="shared" si="15"/>
        <v>31</v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52</v>
      </c>
      <c r="D88" s="149" t="str">
        <f t="shared" si="12"/>
        <v>Ostale pomoći</v>
      </c>
      <c r="E88" s="154">
        <v>3132</v>
      </c>
      <c r="F88" s="149" t="str">
        <f t="shared" si="11"/>
        <v>Doprinosi za obvezno zdravstveno osiguranje</v>
      </c>
      <c r="G88" s="252" t="s">
        <v>111</v>
      </c>
      <c r="H88" s="149" t="str">
        <f t="shared" si="13"/>
        <v>EU PROJEKTI SVEUČILIŠTA U OSIJEKU (IZ EVIDENCIJSKIH PRIHODA)</v>
      </c>
      <c r="I88" s="198">
        <v>2500</v>
      </c>
      <c r="J88" s="198">
        <v>1500</v>
      </c>
      <c r="K88" s="198">
        <v>700</v>
      </c>
      <c r="M88" s="144" t="str">
        <f t="shared" si="14"/>
        <v>313</v>
      </c>
      <c r="N88" s="144" t="str">
        <f t="shared" si="15"/>
        <v>31</v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43</v>
      </c>
      <c r="D89" s="149" t="str">
        <f t="shared" si="12"/>
        <v>Ostali prihodi za posebne namjene</v>
      </c>
      <c r="E89" s="154">
        <v>3132</v>
      </c>
      <c r="F89" s="149" t="str">
        <f t="shared" si="11"/>
        <v>Doprinosi za obvezno zdravstveno osiguranje</v>
      </c>
      <c r="G89" s="252" t="s">
        <v>111</v>
      </c>
      <c r="H89" s="149" t="str">
        <f t="shared" si="13"/>
        <v>EU PROJEKTI SVEUČILIŠTA U OSIJEKU (IZ EVIDENCIJSKIH PRIHODA)</v>
      </c>
      <c r="I89" s="198">
        <f>4500+4200</f>
        <v>8700</v>
      </c>
      <c r="J89" s="198"/>
      <c r="K89" s="198"/>
      <c r="M89" s="144" t="str">
        <f t="shared" si="14"/>
        <v>313</v>
      </c>
      <c r="N89" s="144" t="str">
        <f t="shared" si="15"/>
        <v>31</v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61</v>
      </c>
      <c r="D90" s="149" t="str">
        <f t="shared" si="12"/>
        <v>Donacije</v>
      </c>
      <c r="E90" s="154">
        <v>3132</v>
      </c>
      <c r="F90" s="149" t="str">
        <f t="shared" si="11"/>
        <v>Doprinosi za obvezno zdravstveno osiguranje</v>
      </c>
      <c r="G90" s="252" t="s">
        <v>111</v>
      </c>
      <c r="H90" s="149" t="str">
        <f t="shared" si="13"/>
        <v>EU PROJEKTI SVEUČILIŠTA U OSIJEKU (IZ EVIDENCIJSKIH PRIHODA)</v>
      </c>
      <c r="I90" s="198">
        <v>18700</v>
      </c>
      <c r="J90" s="198">
        <v>18700</v>
      </c>
      <c r="K90" s="198">
        <v>13300</v>
      </c>
      <c r="M90" s="144" t="str">
        <f t="shared" si="14"/>
        <v>313</v>
      </c>
      <c r="N90" s="144" t="str">
        <f t="shared" si="15"/>
        <v>31</v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51</v>
      </c>
      <c r="D91" s="149" t="str">
        <f t="shared" si="12"/>
        <v>Pomoći EU</v>
      </c>
      <c r="E91" s="154">
        <v>3211</v>
      </c>
      <c r="F91" s="149" t="str">
        <f t="shared" si="11"/>
        <v>Službena putovanja</v>
      </c>
      <c r="G91" s="252" t="s">
        <v>111</v>
      </c>
      <c r="H91" s="149" t="str">
        <f t="shared" si="13"/>
        <v>EU PROJEKTI SVEUČILIŠTA U OSIJEKU (IZ EVIDENCIJSKIH PRIHODA)</v>
      </c>
      <c r="I91" s="198">
        <v>20400</v>
      </c>
      <c r="J91" s="198"/>
      <c r="K91" s="198"/>
      <c r="M91" s="144" t="str">
        <f t="shared" si="14"/>
        <v>321</v>
      </c>
      <c r="N91" s="144" t="str">
        <f t="shared" si="15"/>
        <v>32</v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>08006</v>
      </c>
      <c r="B92" s="148" t="str">
        <f>IF(C92="","",VLOOKUP('Opći dio'!$C$3,'Opći dio'!$L$6:$U$135,9,FALSE))</f>
        <v>Sveučilišta i veleučilišta u Republici Hrvatskoj</v>
      </c>
      <c r="C92" s="154">
        <v>52</v>
      </c>
      <c r="D92" s="149" t="str">
        <f t="shared" si="12"/>
        <v>Ostale pomoći</v>
      </c>
      <c r="E92" s="154">
        <v>3211</v>
      </c>
      <c r="F92" s="149" t="str">
        <f t="shared" si="11"/>
        <v>Službena putovanja</v>
      </c>
      <c r="G92" s="252" t="s">
        <v>111</v>
      </c>
      <c r="H92" s="149" t="str">
        <f t="shared" si="13"/>
        <v>EU PROJEKTI SVEUČILIŠTA U OSIJEKU (IZ EVIDENCIJSKIH PRIHODA)</v>
      </c>
      <c r="I92" s="198">
        <f>80000+21200</f>
        <v>101200</v>
      </c>
      <c r="J92" s="198">
        <f>87000+17500</f>
        <v>104500</v>
      </c>
      <c r="K92" s="198">
        <f>89000+14600</f>
        <v>103600</v>
      </c>
      <c r="M92" s="144" t="str">
        <f t="shared" si="14"/>
        <v>321</v>
      </c>
      <c r="N92" s="144" t="str">
        <f t="shared" si="15"/>
        <v>32</v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>08006</v>
      </c>
      <c r="B93" s="148" t="str">
        <f>IF(C93="","",VLOOKUP('Opći dio'!$C$3,'Opći dio'!$L$6:$U$135,9,FALSE))</f>
        <v>Sveučilišta i veleučilišta u Republici Hrvatskoj</v>
      </c>
      <c r="C93" s="154">
        <v>43</v>
      </c>
      <c r="D93" s="149" t="str">
        <f t="shared" si="12"/>
        <v>Ostali prihodi za posebne namjene</v>
      </c>
      <c r="E93" s="154">
        <v>3211</v>
      </c>
      <c r="F93" s="149" t="str">
        <f t="shared" si="11"/>
        <v>Službena putovanja</v>
      </c>
      <c r="G93" s="252" t="s">
        <v>111</v>
      </c>
      <c r="H93" s="149" t="str">
        <f t="shared" si="13"/>
        <v>EU PROJEKTI SVEUČILIŠTA U OSIJEKU (IZ EVIDENCIJSKIH PRIHODA)</v>
      </c>
      <c r="I93" s="198">
        <f>5100+13000+2700</f>
        <v>20800</v>
      </c>
      <c r="J93" s="198"/>
      <c r="K93" s="198"/>
      <c r="M93" s="144" t="str">
        <f t="shared" si="14"/>
        <v>321</v>
      </c>
      <c r="N93" s="144" t="str">
        <f t="shared" si="15"/>
        <v>32</v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>08006</v>
      </c>
      <c r="B94" s="148" t="str">
        <f>IF(C94="","",VLOOKUP('Opći dio'!$C$3,'Opći dio'!$L$6:$U$135,9,FALSE))</f>
        <v>Sveučilišta i veleučilišta u Republici Hrvatskoj</v>
      </c>
      <c r="C94" s="154">
        <v>43</v>
      </c>
      <c r="D94" s="149" t="str">
        <f t="shared" si="12"/>
        <v>Ostali prihodi za posebne namjene</v>
      </c>
      <c r="E94" s="154">
        <v>3212</v>
      </c>
      <c r="F94" s="149" t="str">
        <f t="shared" si="11"/>
        <v>Naknade za prijevoz, za rad na terenu i odvojeni život</v>
      </c>
      <c r="G94" s="252" t="s">
        <v>111</v>
      </c>
      <c r="H94" s="149" t="str">
        <f t="shared" si="13"/>
        <v>EU PROJEKTI SVEUČILIŠTA U OSIJEKU (IZ EVIDENCIJSKIH PRIHODA)</v>
      </c>
      <c r="I94" s="198">
        <v>3100</v>
      </c>
      <c r="J94" s="198"/>
      <c r="K94" s="198"/>
      <c r="M94" s="144" t="str">
        <f t="shared" si="14"/>
        <v>321</v>
      </c>
      <c r="N94" s="144" t="str">
        <f t="shared" si="15"/>
        <v>32</v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51</v>
      </c>
      <c r="D95" s="149" t="str">
        <f t="shared" si="12"/>
        <v>Pomoći EU</v>
      </c>
      <c r="E95" s="154">
        <v>3233</v>
      </c>
      <c r="F95" s="149" t="str">
        <f t="shared" si="11"/>
        <v>Usluge promidžbe i informiranja</v>
      </c>
      <c r="G95" s="252" t="s">
        <v>111</v>
      </c>
      <c r="H95" s="149" t="str">
        <f t="shared" si="13"/>
        <v>EU PROJEKTI SVEUČILIŠTA U OSIJEKU (IZ EVIDENCIJSKIH PRIHODA)</v>
      </c>
      <c r="I95" s="198">
        <f>300+14200</f>
        <v>14500</v>
      </c>
      <c r="J95" s="198"/>
      <c r="K95" s="198"/>
      <c r="M95" s="144" t="str">
        <f t="shared" si="14"/>
        <v>323</v>
      </c>
      <c r="N95" s="144" t="str">
        <f t="shared" si="15"/>
        <v>32</v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43</v>
      </c>
      <c r="D96" s="149" t="str">
        <f t="shared" si="12"/>
        <v>Ostali prihodi za posebne namjene</v>
      </c>
      <c r="E96" s="154">
        <v>3233</v>
      </c>
      <c r="F96" s="149" t="str">
        <f t="shared" si="11"/>
        <v>Usluge promidžbe i informiranja</v>
      </c>
      <c r="G96" s="252" t="s">
        <v>111</v>
      </c>
      <c r="H96" s="149" t="str">
        <f t="shared" si="13"/>
        <v>EU PROJEKTI SVEUČILIŠTA U OSIJEKU (IZ EVIDENCIJSKIH PRIHODA)</v>
      </c>
      <c r="I96" s="198">
        <v>3600</v>
      </c>
      <c r="J96" s="198"/>
      <c r="K96" s="198"/>
      <c r="M96" s="144" t="str">
        <f t="shared" si="14"/>
        <v>323</v>
      </c>
      <c r="N96" s="144" t="str">
        <f t="shared" si="15"/>
        <v>32</v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51</v>
      </c>
      <c r="D97" s="149" t="str">
        <f t="shared" si="12"/>
        <v>Pomoći EU</v>
      </c>
      <c r="E97" s="154">
        <v>3235</v>
      </c>
      <c r="F97" s="149" t="str">
        <f t="shared" si="11"/>
        <v>Zakupnine i najamnine</v>
      </c>
      <c r="G97" s="252" t="s">
        <v>111</v>
      </c>
      <c r="H97" s="149" t="str">
        <f t="shared" si="13"/>
        <v>EU PROJEKTI SVEUČILIŠTA U OSIJEKU (IZ EVIDENCIJSKIH PRIHODA)</v>
      </c>
      <c r="I97" s="198">
        <v>1500</v>
      </c>
      <c r="J97" s="198"/>
      <c r="K97" s="198"/>
      <c r="M97" s="144" t="str">
        <f t="shared" si="14"/>
        <v>323</v>
      </c>
      <c r="N97" s="144" t="str">
        <f t="shared" si="15"/>
        <v>32</v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>08006</v>
      </c>
      <c r="B98" s="148" t="str">
        <f>IF(C98="","",VLOOKUP('Opći dio'!$C$3,'Opći dio'!$L$6:$U$135,9,FALSE))</f>
        <v>Sveučilišta i veleučilišta u Republici Hrvatskoj</v>
      </c>
      <c r="C98" s="154">
        <v>43</v>
      </c>
      <c r="D98" s="149" t="str">
        <f t="shared" si="12"/>
        <v>Ostali prihodi za posebne namjene</v>
      </c>
      <c r="E98" s="154">
        <v>3235</v>
      </c>
      <c r="F98" s="149" t="str">
        <f t="shared" si="11"/>
        <v>Zakupnine i najamnine</v>
      </c>
      <c r="G98" s="252" t="s">
        <v>111</v>
      </c>
      <c r="H98" s="149" t="str">
        <f t="shared" si="13"/>
        <v>EU PROJEKTI SVEUČILIŠTA U OSIJEKU (IZ EVIDENCIJSKIH PRIHODA)</v>
      </c>
      <c r="I98" s="198">
        <v>400</v>
      </c>
      <c r="J98" s="198"/>
      <c r="K98" s="198"/>
      <c r="M98" s="144" t="str">
        <f t="shared" si="14"/>
        <v>323</v>
      </c>
      <c r="N98" s="144" t="str">
        <f t="shared" si="15"/>
        <v>32</v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>08006</v>
      </c>
      <c r="B99" s="148" t="str">
        <f>IF(C99="","",VLOOKUP('Opći dio'!$C$3,'Opći dio'!$L$6:$U$135,9,FALSE))</f>
        <v>Sveučilišta i veleučilišta u Republici Hrvatskoj</v>
      </c>
      <c r="C99" s="154">
        <v>51</v>
      </c>
      <c r="D99" s="149" t="str">
        <f t="shared" si="12"/>
        <v>Pomoći EU</v>
      </c>
      <c r="E99" s="154">
        <v>3237</v>
      </c>
      <c r="F99" s="149" t="str">
        <f t="shared" si="11"/>
        <v>Intelektualne i osobne usluge</v>
      </c>
      <c r="G99" s="252" t="s">
        <v>111</v>
      </c>
      <c r="H99" s="149" t="str">
        <f t="shared" si="13"/>
        <v>EU PROJEKTI SVEUČILIŠTA U OSIJEKU (IZ EVIDENCIJSKIH PRIHODA)</v>
      </c>
      <c r="I99" s="198">
        <v>13600</v>
      </c>
      <c r="J99" s="198"/>
      <c r="K99" s="198"/>
      <c r="M99" s="144" t="str">
        <f t="shared" si="14"/>
        <v>323</v>
      </c>
      <c r="N99" s="144" t="str">
        <f t="shared" si="15"/>
        <v>32</v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>08006</v>
      </c>
      <c r="B100" s="148" t="str">
        <f>IF(C100="","",VLOOKUP('Opći dio'!$C$3,'Opći dio'!$L$6:$U$135,9,FALSE))</f>
        <v>Sveučilišta i veleučilišta u Republici Hrvatskoj</v>
      </c>
      <c r="C100" s="154">
        <v>51</v>
      </c>
      <c r="D100" s="149" t="str">
        <f t="shared" si="12"/>
        <v>Pomoći EU</v>
      </c>
      <c r="E100" s="154">
        <v>3239</v>
      </c>
      <c r="F100" s="149" t="str">
        <f t="shared" si="11"/>
        <v>Ostale usluge</v>
      </c>
      <c r="G100" s="252" t="s">
        <v>111</v>
      </c>
      <c r="H100" s="149" t="str">
        <f t="shared" si="13"/>
        <v>EU PROJEKTI SVEUČILIŠTA U OSIJEKU (IZ EVIDENCIJSKIH PRIHODA)</v>
      </c>
      <c r="I100" s="198">
        <f>4800+15400</f>
        <v>20200</v>
      </c>
      <c r="J100" s="198"/>
      <c r="K100" s="198"/>
      <c r="M100" s="144" t="str">
        <f t="shared" si="14"/>
        <v>323</v>
      </c>
      <c r="N100" s="144" t="str">
        <f t="shared" si="15"/>
        <v>32</v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>08006</v>
      </c>
      <c r="B101" s="148" t="str">
        <f>IF(C101="","",VLOOKUP('Opći dio'!$C$3,'Opći dio'!$L$6:$U$135,9,FALSE))</f>
        <v>Sveučilišta i veleučilišta u Republici Hrvatskoj</v>
      </c>
      <c r="C101" s="154">
        <v>43</v>
      </c>
      <c r="D101" s="149" t="str">
        <f t="shared" si="12"/>
        <v>Ostali prihodi za posebne namjene</v>
      </c>
      <c r="E101" s="154">
        <v>3239</v>
      </c>
      <c r="F101" s="149" t="str">
        <f t="shared" si="11"/>
        <v>Ostale usluge</v>
      </c>
      <c r="G101" s="252" t="s">
        <v>111</v>
      </c>
      <c r="H101" s="149" t="str">
        <f t="shared" si="13"/>
        <v>EU PROJEKTI SVEUČILIŠTA U OSIJEKU (IZ EVIDENCIJSKIH PRIHODA)</v>
      </c>
      <c r="I101" s="198">
        <f>1200+3800</f>
        <v>5000</v>
      </c>
      <c r="J101" s="198"/>
      <c r="K101" s="198"/>
      <c r="M101" s="144" t="str">
        <f t="shared" si="14"/>
        <v>323</v>
      </c>
      <c r="N101" s="144" t="str">
        <f t="shared" si="15"/>
        <v>32</v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>08006</v>
      </c>
      <c r="B102" s="148" t="str">
        <f>IF(C102="","",VLOOKUP('Opći dio'!$C$3,'Opći dio'!$L$6:$U$135,9,FALSE))</f>
        <v>Sveučilišta i veleučilišta u Republici Hrvatskoj</v>
      </c>
      <c r="C102" s="154">
        <v>51</v>
      </c>
      <c r="D102" s="149" t="str">
        <f t="shared" si="12"/>
        <v>Pomoći EU</v>
      </c>
      <c r="E102" s="154">
        <v>3241</v>
      </c>
      <c r="F102" s="149" t="str">
        <f t="shared" si="11"/>
        <v>Naknade troškova osobama izvan radnog odnosa</v>
      </c>
      <c r="G102" s="252" t="s">
        <v>111</v>
      </c>
      <c r="H102" s="149" t="str">
        <f t="shared" si="13"/>
        <v>EU PROJEKTI SVEUČILIŠTA U OSIJEKU (IZ EVIDENCIJSKIH PRIHODA)</v>
      </c>
      <c r="I102" s="198">
        <v>4000</v>
      </c>
      <c r="J102" s="198"/>
      <c r="K102" s="198"/>
      <c r="M102" s="144" t="str">
        <f t="shared" si="14"/>
        <v>324</v>
      </c>
      <c r="N102" s="144" t="str">
        <f t="shared" si="15"/>
        <v>32</v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>08006</v>
      </c>
      <c r="B103" s="148" t="str">
        <f>IF(C103="","",VLOOKUP('Opći dio'!$C$3,'Opći dio'!$L$6:$U$135,9,FALSE))</f>
        <v>Sveučilišta i veleučilišta u Republici Hrvatskoj</v>
      </c>
      <c r="C103" s="154">
        <v>43</v>
      </c>
      <c r="D103" s="149" t="str">
        <f t="shared" si="12"/>
        <v>Ostali prihodi za posebne namjene</v>
      </c>
      <c r="E103" s="154">
        <v>3241</v>
      </c>
      <c r="F103" s="149" t="str">
        <f t="shared" si="11"/>
        <v>Naknade troškova osobama izvan radnog odnosa</v>
      </c>
      <c r="G103" s="252" t="s">
        <v>111</v>
      </c>
      <c r="H103" s="149" t="str">
        <f t="shared" si="13"/>
        <v>EU PROJEKTI SVEUČILIŠTA U OSIJEKU (IZ EVIDENCIJSKIH PRIHODA)</v>
      </c>
      <c r="I103" s="198">
        <v>1000</v>
      </c>
      <c r="J103" s="198"/>
      <c r="K103" s="198"/>
      <c r="M103" s="144" t="str">
        <f t="shared" si="14"/>
        <v>324</v>
      </c>
      <c r="N103" s="144" t="str">
        <f t="shared" si="15"/>
        <v>32</v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>08006</v>
      </c>
      <c r="B104" s="148" t="str">
        <f>IF(C104="","",VLOOKUP('Opći dio'!$C$3,'Opći dio'!$L$6:$U$135,9,FALSE))</f>
        <v>Sveučilišta i veleučilišta u Republici Hrvatskoj</v>
      </c>
      <c r="C104" s="154">
        <v>51</v>
      </c>
      <c r="D104" s="149" t="str">
        <f t="shared" si="12"/>
        <v>Pomoći EU</v>
      </c>
      <c r="E104" s="154">
        <v>3293</v>
      </c>
      <c r="F104" s="149" t="str">
        <f t="shared" si="11"/>
        <v>Reprezentacija</v>
      </c>
      <c r="G104" s="252" t="s">
        <v>111</v>
      </c>
      <c r="H104" s="149" t="str">
        <f t="shared" si="13"/>
        <v>EU PROJEKTI SVEUČILIŠTA U OSIJEKU (IZ EVIDENCIJSKIH PRIHODA)</v>
      </c>
      <c r="I104" s="198">
        <v>4800</v>
      </c>
      <c r="J104" s="198"/>
      <c r="K104" s="198"/>
      <c r="M104" s="144" t="str">
        <f t="shared" si="14"/>
        <v>329</v>
      </c>
      <c r="N104" s="144" t="str">
        <f t="shared" si="15"/>
        <v>32</v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>08006</v>
      </c>
      <c r="B105" s="148" t="str">
        <f>IF(C105="","",VLOOKUP('Opći dio'!$C$3,'Opći dio'!$L$6:$U$135,9,FALSE))</f>
        <v>Sveučilišta i veleučilišta u Republici Hrvatskoj</v>
      </c>
      <c r="C105" s="154">
        <v>43</v>
      </c>
      <c r="D105" s="149" t="str">
        <f t="shared" si="12"/>
        <v>Ostali prihodi za posebne namjene</v>
      </c>
      <c r="E105" s="154">
        <v>3293</v>
      </c>
      <c r="F105" s="149" t="str">
        <f t="shared" si="11"/>
        <v>Reprezentacija</v>
      </c>
      <c r="G105" s="252" t="s">
        <v>111</v>
      </c>
      <c r="H105" s="149" t="str">
        <f t="shared" si="13"/>
        <v>EU PROJEKTI SVEUČILIŠTA U OSIJEKU (IZ EVIDENCIJSKIH PRIHODA)</v>
      </c>
      <c r="I105" s="198">
        <v>1200</v>
      </c>
      <c r="J105" s="198"/>
      <c r="K105" s="198"/>
      <c r="M105" s="144" t="str">
        <f t="shared" si="14"/>
        <v>329</v>
      </c>
      <c r="N105" s="144" t="str">
        <f t="shared" si="15"/>
        <v>32</v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>08006</v>
      </c>
      <c r="B106" s="148" t="str">
        <f>IF(C106="","",VLOOKUP('Opći dio'!$C$3,'Opći dio'!$L$6:$U$135,9,FALSE))</f>
        <v>Sveučilišta i veleučilišta u Republici Hrvatskoj</v>
      </c>
      <c r="C106" s="154">
        <v>52</v>
      </c>
      <c r="D106" s="149" t="str">
        <f t="shared" si="12"/>
        <v>Ostale pomoći</v>
      </c>
      <c r="E106" s="154">
        <v>3293</v>
      </c>
      <c r="F106" s="149" t="str">
        <f t="shared" si="11"/>
        <v>Reprezentacija</v>
      </c>
      <c r="G106" s="252" t="s">
        <v>111</v>
      </c>
      <c r="H106" s="149" t="str">
        <f t="shared" si="13"/>
        <v>EU PROJEKTI SVEUČILIŠTA U OSIJEKU (IZ EVIDENCIJSKIH PRIHODA)</v>
      </c>
      <c r="I106" s="198"/>
      <c r="J106" s="198">
        <v>3300</v>
      </c>
      <c r="K106" s="198"/>
      <c r="M106" s="144" t="str">
        <f t="shared" si="14"/>
        <v>329</v>
      </c>
      <c r="N106" s="144" t="str">
        <f t="shared" si="15"/>
        <v>32</v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>08006</v>
      </c>
      <c r="B107" s="148" t="str">
        <f>IF(C107="","",VLOOKUP('Opći dio'!$C$3,'Opći dio'!$L$6:$U$135,9,FALSE))</f>
        <v>Sveučilišta i veleučilišta u Republici Hrvatskoj</v>
      </c>
      <c r="C107" s="154">
        <v>51</v>
      </c>
      <c r="D107" s="149" t="str">
        <f t="shared" si="12"/>
        <v>Pomoći EU</v>
      </c>
      <c r="E107" s="154">
        <v>4221</v>
      </c>
      <c r="F107" s="149" t="str">
        <f t="shared" si="11"/>
        <v>Uredska oprema i namještaj</v>
      </c>
      <c r="G107" s="252" t="s">
        <v>111</v>
      </c>
      <c r="H107" s="149" t="str">
        <f t="shared" si="13"/>
        <v>EU PROJEKTI SVEUČILIŠTA U OSIJEKU (IZ EVIDENCIJSKIH PRIHODA)</v>
      </c>
      <c r="I107" s="198">
        <f>4800+6000</f>
        <v>10800</v>
      </c>
      <c r="J107" s="198"/>
      <c r="K107" s="198"/>
      <c r="M107" s="144" t="str">
        <f t="shared" si="14"/>
        <v>422</v>
      </c>
      <c r="N107" s="144" t="str">
        <f t="shared" si="15"/>
        <v>42</v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>08006</v>
      </c>
      <c r="B108" s="148" t="str">
        <f>IF(C108="","",VLOOKUP('Opći dio'!$C$3,'Opći dio'!$L$6:$U$135,9,FALSE))</f>
        <v>Sveučilišta i veleučilišta u Republici Hrvatskoj</v>
      </c>
      <c r="C108" s="154">
        <v>43</v>
      </c>
      <c r="D108" s="149" t="str">
        <f t="shared" si="12"/>
        <v>Ostali prihodi za posebne namjene</v>
      </c>
      <c r="E108" s="154">
        <v>4221</v>
      </c>
      <c r="F108" s="149" t="str">
        <f t="shared" si="11"/>
        <v>Uredska oprema i namještaj</v>
      </c>
      <c r="G108" s="252" t="s">
        <v>111</v>
      </c>
      <c r="H108" s="149" t="str">
        <f t="shared" si="13"/>
        <v>EU PROJEKTI SVEUČILIŠTA U OSIJEKU (IZ EVIDENCIJSKIH PRIHODA)</v>
      </c>
      <c r="I108" s="198">
        <f>1200+1500</f>
        <v>2700</v>
      </c>
      <c r="J108" s="198"/>
      <c r="K108" s="198"/>
      <c r="M108" s="144" t="str">
        <f t="shared" si="14"/>
        <v>422</v>
      </c>
      <c r="N108" s="144" t="str">
        <f t="shared" si="15"/>
        <v>42</v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>08006</v>
      </c>
      <c r="B109" s="148" t="str">
        <f>IF(C109="","",VLOOKUP('Opći dio'!$C$3,'Opći dio'!$L$6:$U$135,9,FALSE))</f>
        <v>Sveučilišta i veleučilišta u Republici Hrvatskoj</v>
      </c>
      <c r="C109" s="154">
        <v>43</v>
      </c>
      <c r="D109" s="149" t="str">
        <f t="shared" si="12"/>
        <v>Ostali prihodi za posebne namjene</v>
      </c>
      <c r="E109" s="154">
        <v>3237</v>
      </c>
      <c r="F109" s="149" t="str">
        <f t="shared" si="11"/>
        <v>Intelektualne i osobne usluge</v>
      </c>
      <c r="G109" s="252" t="s">
        <v>111</v>
      </c>
      <c r="H109" s="149" t="str">
        <f t="shared" si="13"/>
        <v>EU PROJEKTI SVEUČILIŠTA U OSIJEKU (IZ EVIDENCIJSKIH PRIHODA)</v>
      </c>
      <c r="I109" s="198">
        <v>78400</v>
      </c>
      <c r="J109" s="198"/>
      <c r="K109" s="198"/>
      <c r="M109" s="144" t="str">
        <f t="shared" si="14"/>
        <v>323</v>
      </c>
      <c r="N109" s="144" t="str">
        <f t="shared" si="15"/>
        <v>32</v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>08006</v>
      </c>
      <c r="B110" s="148" t="str">
        <f>IF(C110="","",VLOOKUP('Opći dio'!$C$3,'Opći dio'!$L$6:$U$135,9,FALSE))</f>
        <v>Sveučilišta i veleučilišta u Republici Hrvatskoj</v>
      </c>
      <c r="C110" s="154">
        <v>52</v>
      </c>
      <c r="D110" s="149" t="str">
        <f t="shared" si="12"/>
        <v>Ostale pomoći</v>
      </c>
      <c r="E110" s="154">
        <v>3211</v>
      </c>
      <c r="F110" s="149" t="str">
        <f t="shared" si="11"/>
        <v>Službena putovanja</v>
      </c>
      <c r="G110" s="252" t="s">
        <v>197</v>
      </c>
      <c r="H110" s="149" t="str">
        <f t="shared" si="13"/>
        <v>REDOVNA DJELATNOST SVEUČILIŠTA U OSIJEKU (IZ EVIDENCIJSKIH PRIHODA)</v>
      </c>
      <c r="I110" s="198">
        <v>2000</v>
      </c>
      <c r="J110" s="198">
        <v>2000</v>
      </c>
      <c r="K110" s="198">
        <v>2000</v>
      </c>
      <c r="M110" s="144" t="str">
        <f t="shared" si="14"/>
        <v>321</v>
      </c>
      <c r="N110" s="144" t="str">
        <f t="shared" si="15"/>
        <v>32</v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>08006</v>
      </c>
      <c r="B111" s="148" t="str">
        <f>IF(C111="","",VLOOKUP('Opći dio'!$C$3,'Opći dio'!$L$6:$U$135,9,FALSE))</f>
        <v>Sveučilišta i veleučilišta u Republici Hrvatskoj</v>
      </c>
      <c r="C111" s="154">
        <v>52</v>
      </c>
      <c r="D111" s="149" t="str">
        <f t="shared" si="12"/>
        <v>Ostale pomoći</v>
      </c>
      <c r="E111" s="154">
        <v>3231</v>
      </c>
      <c r="F111" s="149" t="str">
        <f t="shared" si="11"/>
        <v>Usluge telefona, pošte i prijevoza</v>
      </c>
      <c r="G111" s="252" t="s">
        <v>197</v>
      </c>
      <c r="H111" s="149" t="str">
        <f t="shared" si="13"/>
        <v>REDOVNA DJELATNOST SVEUČILIŠTA U OSIJEKU (IZ EVIDENCIJSKIH PRIHODA)</v>
      </c>
      <c r="I111" s="198">
        <v>3000</v>
      </c>
      <c r="J111" s="198">
        <v>3000</v>
      </c>
      <c r="K111" s="198">
        <v>3000</v>
      </c>
      <c r="M111" s="144" t="str">
        <f t="shared" si="14"/>
        <v>323</v>
      </c>
      <c r="N111" s="144" t="str">
        <f t="shared" si="15"/>
        <v>32</v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>08006</v>
      </c>
      <c r="B112" s="148" t="str">
        <f>IF(C112="","",VLOOKUP('Opći dio'!$C$3,'Opći dio'!$L$6:$U$135,9,FALSE))</f>
        <v>Sveučilišta i veleučilišta u Republici Hrvatskoj</v>
      </c>
      <c r="C112" s="154">
        <v>52</v>
      </c>
      <c r="D112" s="149" t="str">
        <f t="shared" si="12"/>
        <v>Ostale pomoći</v>
      </c>
      <c r="E112" s="154">
        <v>3234</v>
      </c>
      <c r="F112" s="149" t="str">
        <f t="shared" si="11"/>
        <v>Komunalne usluge</v>
      </c>
      <c r="G112" s="252" t="s">
        <v>197</v>
      </c>
      <c r="H112" s="149" t="str">
        <f t="shared" si="13"/>
        <v>REDOVNA DJELATNOST SVEUČILIŠTA U OSIJEKU (IZ EVIDENCIJSKIH PRIHODA)</v>
      </c>
      <c r="I112" s="198">
        <v>500</v>
      </c>
      <c r="J112" s="198">
        <v>500</v>
      </c>
      <c r="K112" s="198">
        <v>500</v>
      </c>
      <c r="M112" s="144" t="str">
        <f t="shared" si="14"/>
        <v>323</v>
      </c>
      <c r="N112" s="144" t="str">
        <f t="shared" si="15"/>
        <v>32</v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>08006</v>
      </c>
      <c r="B113" s="148" t="str">
        <f>IF(C113="","",VLOOKUP('Opći dio'!$C$3,'Opći dio'!$L$6:$U$135,9,FALSE))</f>
        <v>Sveučilišta i veleučilišta u Republici Hrvatskoj</v>
      </c>
      <c r="C113" s="154">
        <v>52</v>
      </c>
      <c r="D113" s="149" t="str">
        <f t="shared" si="12"/>
        <v>Ostale pomoći</v>
      </c>
      <c r="E113" s="154">
        <v>3235</v>
      </c>
      <c r="F113" s="149" t="str">
        <f t="shared" si="11"/>
        <v>Zakupnine i najamnine</v>
      </c>
      <c r="G113" s="252" t="s">
        <v>197</v>
      </c>
      <c r="H113" s="149" t="str">
        <f t="shared" si="13"/>
        <v>REDOVNA DJELATNOST SVEUČILIŠTA U OSIJEKU (IZ EVIDENCIJSKIH PRIHODA)</v>
      </c>
      <c r="I113" s="198">
        <v>5000</v>
      </c>
      <c r="J113" s="198">
        <v>5000</v>
      </c>
      <c r="K113" s="198">
        <v>5000</v>
      </c>
      <c r="M113" s="144" t="str">
        <f t="shared" si="14"/>
        <v>323</v>
      </c>
      <c r="N113" s="144" t="str">
        <f t="shared" si="15"/>
        <v>32</v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>08006</v>
      </c>
      <c r="B114" s="148" t="str">
        <f>IF(C114="","",VLOOKUP('Opći dio'!$C$3,'Opći dio'!$L$6:$U$135,9,FALSE))</f>
        <v>Sveučilišta i veleučilišta u Republici Hrvatskoj</v>
      </c>
      <c r="C114" s="154">
        <v>52</v>
      </c>
      <c r="D114" s="149" t="str">
        <f t="shared" si="12"/>
        <v>Ostale pomoći</v>
      </c>
      <c r="E114" s="154">
        <v>3237</v>
      </c>
      <c r="F114" s="149" t="str">
        <f t="shared" si="11"/>
        <v>Intelektualne i osobne usluge</v>
      </c>
      <c r="G114" s="252" t="s">
        <v>197</v>
      </c>
      <c r="H114" s="149" t="str">
        <f t="shared" si="13"/>
        <v>REDOVNA DJELATNOST SVEUČILIŠTA U OSIJEKU (IZ EVIDENCIJSKIH PRIHODA)</v>
      </c>
      <c r="I114" s="198">
        <v>29500</v>
      </c>
      <c r="J114" s="198">
        <v>29500</v>
      </c>
      <c r="K114" s="198">
        <v>29500</v>
      </c>
      <c r="M114" s="144" t="str">
        <f t="shared" si="14"/>
        <v>323</v>
      </c>
      <c r="N114" s="144" t="str">
        <f t="shared" si="15"/>
        <v>32</v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>08006</v>
      </c>
      <c r="B115" s="148" t="str">
        <f>IF(C115="","",VLOOKUP('Opći dio'!$C$3,'Opći dio'!$L$6:$U$135,9,FALSE))</f>
        <v>Sveučilišta i veleučilišta u Republici Hrvatskoj</v>
      </c>
      <c r="C115" s="154">
        <v>52</v>
      </c>
      <c r="D115" s="149" t="str">
        <f t="shared" si="12"/>
        <v>Ostale pomoći</v>
      </c>
      <c r="E115" s="154">
        <v>3239</v>
      </c>
      <c r="F115" s="149" t="str">
        <f t="shared" si="11"/>
        <v>Ostale usluge</v>
      </c>
      <c r="G115" s="252" t="s">
        <v>197</v>
      </c>
      <c r="H115" s="149" t="str">
        <f t="shared" si="13"/>
        <v>REDOVNA DJELATNOST SVEUČILIŠTA U OSIJEKU (IZ EVIDENCIJSKIH PRIHODA)</v>
      </c>
      <c r="I115" s="198">
        <v>4000</v>
      </c>
      <c r="J115" s="198">
        <v>4000</v>
      </c>
      <c r="K115" s="198">
        <v>4000</v>
      </c>
      <c r="M115" s="144" t="str">
        <f t="shared" si="14"/>
        <v>323</v>
      </c>
      <c r="N115" s="144" t="str">
        <f t="shared" si="15"/>
        <v>32</v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>08006</v>
      </c>
      <c r="B116" s="148" t="str">
        <f>IF(C116="","",VLOOKUP('Opći dio'!$C$3,'Opći dio'!$L$6:$U$135,9,FALSE))</f>
        <v>Sveučilišta i veleučilišta u Republici Hrvatskoj</v>
      </c>
      <c r="C116" s="154">
        <v>52</v>
      </c>
      <c r="D116" s="149" t="str">
        <f t="shared" si="12"/>
        <v>Ostale pomoći</v>
      </c>
      <c r="E116" s="154">
        <v>3241</v>
      </c>
      <c r="F116" s="149" t="str">
        <f t="shared" si="11"/>
        <v>Naknade troškova osobama izvan radnog odnosa</v>
      </c>
      <c r="G116" s="252" t="s">
        <v>197</v>
      </c>
      <c r="H116" s="149" t="str">
        <f t="shared" si="13"/>
        <v>REDOVNA DJELATNOST SVEUČILIŠTA U OSIJEKU (IZ EVIDENCIJSKIH PRIHODA)</v>
      </c>
      <c r="I116" s="198">
        <v>2000</v>
      </c>
      <c r="J116" s="198">
        <v>2000</v>
      </c>
      <c r="K116" s="198">
        <v>2000</v>
      </c>
      <c r="M116" s="144" t="str">
        <f t="shared" si="14"/>
        <v>324</v>
      </c>
      <c r="N116" s="144" t="str">
        <f t="shared" si="15"/>
        <v>32</v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>08006</v>
      </c>
      <c r="B117" s="148" t="str">
        <f>IF(C117="","",VLOOKUP('Opći dio'!$C$3,'Opći dio'!$L$6:$U$135,9,FALSE))</f>
        <v>Sveučilišta i veleučilišta u Republici Hrvatskoj</v>
      </c>
      <c r="C117" s="154">
        <v>52</v>
      </c>
      <c r="D117" s="149" t="str">
        <f t="shared" si="12"/>
        <v>Ostale pomoći</v>
      </c>
      <c r="E117" s="154">
        <v>3293</v>
      </c>
      <c r="F117" s="149" t="str">
        <f t="shared" si="11"/>
        <v>Reprezentacija</v>
      </c>
      <c r="G117" s="252" t="s">
        <v>197</v>
      </c>
      <c r="H117" s="149" t="str">
        <f t="shared" si="13"/>
        <v>REDOVNA DJELATNOST SVEUČILIŠTA U OSIJEKU (IZ EVIDENCIJSKIH PRIHODA)</v>
      </c>
      <c r="I117" s="198">
        <v>3000</v>
      </c>
      <c r="J117" s="198">
        <v>3000</v>
      </c>
      <c r="K117" s="198">
        <v>3000</v>
      </c>
      <c r="M117" s="144" t="str">
        <f t="shared" si="14"/>
        <v>329</v>
      </c>
      <c r="N117" s="144" t="str">
        <f t="shared" si="15"/>
        <v>32</v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>08006</v>
      </c>
      <c r="B118" s="148" t="str">
        <f>IF(C118="","",VLOOKUP('Opći dio'!$C$3,'Opći dio'!$L$6:$U$135,9,FALSE))</f>
        <v>Sveučilišta i veleučilišta u Republici Hrvatskoj</v>
      </c>
      <c r="C118" s="154">
        <v>52</v>
      </c>
      <c r="D118" s="149" t="str">
        <f t="shared" si="12"/>
        <v>Ostale pomoći</v>
      </c>
      <c r="E118" s="154">
        <v>3299</v>
      </c>
      <c r="F118" s="149" t="str">
        <f t="shared" si="11"/>
        <v>Ostali nespomenuti rashodi poslovanja</v>
      </c>
      <c r="G118" s="252" t="s">
        <v>197</v>
      </c>
      <c r="H118" s="149" t="str">
        <f t="shared" si="13"/>
        <v>REDOVNA DJELATNOST SVEUČILIŠTA U OSIJEKU (IZ EVIDENCIJSKIH PRIHODA)</v>
      </c>
      <c r="I118" s="198">
        <v>1000</v>
      </c>
      <c r="J118" s="198">
        <v>1000</v>
      </c>
      <c r="K118" s="198">
        <v>1000</v>
      </c>
      <c r="M118" s="144" t="str">
        <f t="shared" si="14"/>
        <v>329</v>
      </c>
      <c r="N118" s="144" t="str">
        <f t="shared" si="15"/>
        <v>32</v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>08006</v>
      </c>
      <c r="B119" s="148" t="str">
        <f>IF(C119="","",VLOOKUP('Opći dio'!$C$3,'Opći dio'!$L$6:$U$135,9,FALSE))</f>
        <v>Sveučilišta i veleučilišta u Republici Hrvatskoj</v>
      </c>
      <c r="C119" s="154">
        <v>61</v>
      </c>
      <c r="D119" s="149" t="str">
        <f t="shared" si="12"/>
        <v>Donacije</v>
      </c>
      <c r="E119" s="154">
        <v>3211</v>
      </c>
      <c r="F119" s="149" t="str">
        <f t="shared" si="11"/>
        <v>Službena putovanja</v>
      </c>
      <c r="G119" s="252" t="s">
        <v>197</v>
      </c>
      <c r="H119" s="149" t="str">
        <f t="shared" si="13"/>
        <v>REDOVNA DJELATNOST SVEUČILIŠTA U OSIJEKU (IZ EVIDENCIJSKIH PRIHODA)</v>
      </c>
      <c r="I119" s="198">
        <v>5000</v>
      </c>
      <c r="J119" s="198"/>
      <c r="K119" s="198"/>
      <c r="M119" s="144" t="str">
        <f t="shared" si="14"/>
        <v>321</v>
      </c>
      <c r="N119" s="144" t="str">
        <f t="shared" si="15"/>
        <v>32</v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>08006</v>
      </c>
      <c r="B120" s="148" t="str">
        <f>IF(C120="","",VLOOKUP('Opći dio'!$C$3,'Opći dio'!$L$6:$U$135,9,FALSE))</f>
        <v>Sveučilišta i veleučilišta u Republici Hrvatskoj</v>
      </c>
      <c r="C120" s="154">
        <v>61</v>
      </c>
      <c r="D120" s="149" t="str">
        <f t="shared" si="12"/>
        <v>Donacije</v>
      </c>
      <c r="E120" s="154">
        <v>3237</v>
      </c>
      <c r="F120" s="149" t="str">
        <f t="shared" si="11"/>
        <v>Intelektualne i osobne usluge</v>
      </c>
      <c r="G120" s="252" t="s">
        <v>197</v>
      </c>
      <c r="H120" s="149" t="str">
        <f t="shared" si="13"/>
        <v>REDOVNA DJELATNOST SVEUČILIŠTA U OSIJEKU (IZ EVIDENCIJSKIH PRIHODA)</v>
      </c>
      <c r="I120" s="198">
        <v>14000</v>
      </c>
      <c r="J120" s="198"/>
      <c r="K120" s="198"/>
      <c r="M120" s="144" t="str">
        <f t="shared" si="14"/>
        <v>323</v>
      </c>
      <c r="N120" s="144" t="str">
        <f t="shared" si="15"/>
        <v>32</v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>08006</v>
      </c>
      <c r="B121" s="148" t="str">
        <f>IF(C121="","",VLOOKUP('Opći dio'!$C$3,'Opći dio'!$L$6:$U$135,9,FALSE))</f>
        <v>Sveučilišta i veleučilišta u Republici Hrvatskoj</v>
      </c>
      <c r="C121" s="154">
        <v>61</v>
      </c>
      <c r="D121" s="149" t="str">
        <f t="shared" si="12"/>
        <v>Donacije</v>
      </c>
      <c r="E121" s="154">
        <v>3241</v>
      </c>
      <c r="F121" s="149" t="str">
        <f t="shared" si="11"/>
        <v>Naknade troškova osobama izvan radnog odnosa</v>
      </c>
      <c r="G121" s="252" t="s">
        <v>197</v>
      </c>
      <c r="H121" s="149" t="str">
        <f t="shared" si="13"/>
        <v>REDOVNA DJELATNOST SVEUČILIŠTA U OSIJEKU (IZ EVIDENCIJSKIH PRIHODA)</v>
      </c>
      <c r="I121" s="198">
        <v>22000</v>
      </c>
      <c r="J121" s="198"/>
      <c r="K121" s="198"/>
      <c r="M121" s="144" t="str">
        <f t="shared" si="14"/>
        <v>324</v>
      </c>
      <c r="N121" s="144" t="str">
        <f t="shared" si="15"/>
        <v>32</v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>08006</v>
      </c>
      <c r="B122" s="148" t="str">
        <f>IF(C122="","",VLOOKUP('Opći dio'!$C$3,'Opći dio'!$L$6:$U$135,9,FALSE))</f>
        <v>Sveučilišta i veleučilišta u Republici Hrvatskoj</v>
      </c>
      <c r="C122" s="154">
        <v>61</v>
      </c>
      <c r="D122" s="149" t="str">
        <f t="shared" si="12"/>
        <v>Donacije</v>
      </c>
      <c r="E122" s="154">
        <v>3293</v>
      </c>
      <c r="F122" s="149" t="str">
        <f t="shared" si="11"/>
        <v>Reprezentacija</v>
      </c>
      <c r="G122" s="252" t="s">
        <v>197</v>
      </c>
      <c r="H122" s="149" t="str">
        <f t="shared" si="13"/>
        <v>REDOVNA DJELATNOST SVEUČILIŠTA U OSIJEKU (IZ EVIDENCIJSKIH PRIHODA)</v>
      </c>
      <c r="I122" s="198">
        <v>9000</v>
      </c>
      <c r="J122" s="198"/>
      <c r="K122" s="198"/>
      <c r="M122" s="144" t="str">
        <f t="shared" si="14"/>
        <v>329</v>
      </c>
      <c r="N122" s="144" t="str">
        <f t="shared" si="15"/>
        <v>32</v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>08006</v>
      </c>
      <c r="B123" s="148" t="str">
        <f>IF(C123="","",VLOOKUP('Opći dio'!$C$3,'Opći dio'!$L$6:$U$135,9,FALSE))</f>
        <v>Sveučilišta i veleučilišta u Republici Hrvatskoj</v>
      </c>
      <c r="C123" s="154">
        <v>61</v>
      </c>
      <c r="D123" s="149" t="str">
        <f t="shared" si="12"/>
        <v>Donacije</v>
      </c>
      <c r="E123" s="154">
        <v>4241</v>
      </c>
      <c r="F123" s="149" t="str">
        <f t="shared" si="11"/>
        <v>Knjige</v>
      </c>
      <c r="G123" s="252" t="s">
        <v>197</v>
      </c>
      <c r="H123" s="149" t="str">
        <f t="shared" si="13"/>
        <v>REDOVNA DJELATNOST SVEUČILIŠTA U OSIJEKU (IZ EVIDENCIJSKIH PRIHODA)</v>
      </c>
      <c r="I123" s="198">
        <v>4000</v>
      </c>
      <c r="J123" s="198"/>
      <c r="K123" s="198"/>
      <c r="M123" s="144" t="str">
        <f t="shared" si="14"/>
        <v>424</v>
      </c>
      <c r="N123" s="144" t="str">
        <f t="shared" si="15"/>
        <v>42</v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>08006</v>
      </c>
      <c r="B124" s="148" t="str">
        <f>IF(C124="","",VLOOKUP('Opći dio'!$C$3,'Opći dio'!$L$6:$U$135,9,FALSE))</f>
        <v>Sveučilišta i veleučilišta u Republici Hrvatskoj</v>
      </c>
      <c r="C124" s="154">
        <v>51</v>
      </c>
      <c r="D124" s="149" t="str">
        <f t="shared" si="12"/>
        <v>Pomoći EU</v>
      </c>
      <c r="E124" s="154">
        <v>3211</v>
      </c>
      <c r="F124" s="149" t="str">
        <f t="shared" si="11"/>
        <v>Službena putovanja</v>
      </c>
      <c r="G124" s="252" t="s">
        <v>197</v>
      </c>
      <c r="H124" s="149" t="str">
        <f t="shared" si="13"/>
        <v>REDOVNA DJELATNOST SVEUČILIŠTA U OSIJEKU (IZ EVIDENCIJSKIH PRIHODA)</v>
      </c>
      <c r="I124" s="198"/>
      <c r="J124" s="198">
        <v>13000</v>
      </c>
      <c r="K124" s="198"/>
      <c r="M124" s="144" t="str">
        <f t="shared" si="14"/>
        <v>321</v>
      </c>
      <c r="N124" s="144" t="str">
        <f t="shared" si="15"/>
        <v>32</v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>08006</v>
      </c>
      <c r="B125" s="148" t="str">
        <f>IF(C125="","",VLOOKUP('Opći dio'!$C$3,'Opći dio'!$L$6:$U$135,9,FALSE))</f>
        <v>Sveučilišta i veleučilišta u Republici Hrvatskoj</v>
      </c>
      <c r="C125" s="154">
        <v>51</v>
      </c>
      <c r="D125" s="149" t="str">
        <f t="shared" si="12"/>
        <v>Pomoći EU</v>
      </c>
      <c r="E125" s="154">
        <v>3237</v>
      </c>
      <c r="F125" s="149" t="str">
        <f t="shared" si="11"/>
        <v>Intelektualne i osobne usluge</v>
      </c>
      <c r="G125" s="252" t="s">
        <v>197</v>
      </c>
      <c r="H125" s="149" t="str">
        <f t="shared" si="13"/>
        <v>REDOVNA DJELATNOST SVEUČILIŠTA U OSIJEKU (IZ EVIDENCIJSKIH PRIHODA)</v>
      </c>
      <c r="I125" s="198"/>
      <c r="J125" s="198">
        <v>60000</v>
      </c>
      <c r="K125" s="198"/>
      <c r="M125" s="144" t="str">
        <f t="shared" si="14"/>
        <v>323</v>
      </c>
      <c r="N125" s="144" t="str">
        <f t="shared" si="15"/>
        <v>32</v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52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52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52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52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52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52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52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52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52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52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52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52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52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52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52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52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52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52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52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52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52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52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172" zoomScaleNormal="172" workbookViewId="0">
      <pane ySplit="2" topLeftCell="A92" activePane="bottomLeft" state="frozen"/>
      <selection pane="bottomLeft" activeCell="G79" sqref="G79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78" t="s">
        <v>290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72" t="s">
        <v>292</v>
      </c>
      <c r="B3" s="273"/>
      <c r="C3" s="274" t="s">
        <v>51</v>
      </c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6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17684200</v>
      </c>
      <c r="D5" s="3"/>
      <c r="E5" s="3"/>
      <c r="F5" s="3">
        <v>196000</v>
      </c>
      <c r="G5" s="3">
        <v>17235000</v>
      </c>
      <c r="H5" s="3">
        <v>205000</v>
      </c>
      <c r="I5" s="3"/>
      <c r="J5" s="3"/>
      <c r="K5" s="3"/>
      <c r="L5" s="3"/>
      <c r="M5" s="3"/>
      <c r="N5" s="3"/>
      <c r="O5" s="3">
        <v>48200</v>
      </c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31202148</v>
      </c>
      <c r="D6" s="15">
        <f t="shared" ref="D6:P6" si="1">+D26+D33</f>
        <v>17261248</v>
      </c>
      <c r="E6" s="15">
        <f t="shared" si="1"/>
        <v>0</v>
      </c>
      <c r="F6" s="15">
        <f t="shared" si="1"/>
        <v>315000</v>
      </c>
      <c r="G6" s="15">
        <f t="shared" si="1"/>
        <v>13140000</v>
      </c>
      <c r="H6" s="15">
        <f t="shared" si="1"/>
        <v>133300</v>
      </c>
      <c r="I6" s="15">
        <f t="shared" si="1"/>
        <v>168200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181400</v>
      </c>
      <c r="N6" s="15">
        <f t="shared" si="1"/>
        <v>0</v>
      </c>
      <c r="O6" s="15">
        <f t="shared" si="1"/>
        <v>3000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-13530119</v>
      </c>
      <c r="D7" s="115">
        <v>0</v>
      </c>
      <c r="E7" s="115"/>
      <c r="F7" s="115">
        <v>-159700</v>
      </c>
      <c r="G7" s="115">
        <v>-13319219</v>
      </c>
      <c r="H7" s="115"/>
      <c r="I7" s="115"/>
      <c r="J7" s="3"/>
      <c r="K7" s="115"/>
      <c r="L7" s="115"/>
      <c r="M7" s="115"/>
      <c r="N7" s="115"/>
      <c r="O7" s="115">
        <v>-51200</v>
      </c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35356229</v>
      </c>
      <c r="D8" s="15">
        <f>+D5+D6+D7</f>
        <v>17261248</v>
      </c>
      <c r="E8" s="15">
        <f t="shared" ref="E8:P8" si="2">+E5+E6+E7</f>
        <v>0</v>
      </c>
      <c r="F8" s="15">
        <f t="shared" si="2"/>
        <v>351300</v>
      </c>
      <c r="G8" s="15">
        <f t="shared" si="2"/>
        <v>17055781</v>
      </c>
      <c r="H8" s="15">
        <f t="shared" si="2"/>
        <v>338300</v>
      </c>
      <c r="I8" s="15">
        <f t="shared" si="2"/>
        <v>168200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181400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35356229</v>
      </c>
      <c r="D9" s="138">
        <f>+'PLAN RASHODA I IZDATAKA'!D3</f>
        <v>17261248</v>
      </c>
      <c r="E9" s="138">
        <f>+'PLAN RASHODA I IZDATAKA'!E3</f>
        <v>0</v>
      </c>
      <c r="F9" s="138">
        <f>+'PLAN RASHODA I IZDATAKA'!F3</f>
        <v>351300</v>
      </c>
      <c r="G9" s="138">
        <f>+'PLAN RASHODA I IZDATAKA'!G3</f>
        <v>17055781</v>
      </c>
      <c r="H9" s="138">
        <f>+'PLAN RASHODA I IZDATAKA'!H3</f>
        <v>338300</v>
      </c>
      <c r="I9" s="138">
        <f>+'PLAN RASHODA I IZDATAKA'!I3</f>
        <v>168200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181400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133300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133300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168200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168200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4000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4000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13140000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13140000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311000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311000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181400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181400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17261248</v>
      </c>
      <c r="D23" s="204">
        <f>SUMIFS('Plan prihoda za unos u SAP'!$G$3:$G$501,'Plan prihoda za unos u SAP'!$C$3:$C$501,"=11",'Plan prihoda za unos u SAP'!$K$3:$K$501,"=671")</f>
        <v>17261248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31199148</v>
      </c>
      <c r="D26" s="4">
        <f t="shared" ref="D26:P26" si="6">SUM(D11:D25)</f>
        <v>17261248</v>
      </c>
      <c r="E26" s="4">
        <f t="shared" si="6"/>
        <v>0</v>
      </c>
      <c r="F26" s="4">
        <f t="shared" si="6"/>
        <v>315000</v>
      </c>
      <c r="G26" s="4">
        <f t="shared" si="6"/>
        <v>13140000</v>
      </c>
      <c r="H26" s="4">
        <f t="shared" si="6"/>
        <v>133300</v>
      </c>
      <c r="I26" s="4">
        <f t="shared" si="6"/>
        <v>168200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181400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3000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3000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3000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3000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77" t="s">
        <v>339</v>
      </c>
      <c r="B37" s="277"/>
      <c r="C37" s="72">
        <f>SUM(D37:P37)</f>
        <v>31202148</v>
      </c>
      <c r="D37" s="72">
        <f t="shared" ref="D37:P37" si="9">+D36+D33+D26</f>
        <v>17261248</v>
      </c>
      <c r="E37" s="72">
        <f t="shared" si="9"/>
        <v>0</v>
      </c>
      <c r="F37" s="72">
        <f t="shared" si="9"/>
        <v>315000</v>
      </c>
      <c r="G37" s="72">
        <f t="shared" si="9"/>
        <v>13140000</v>
      </c>
      <c r="H37" s="72">
        <f t="shared" si="9"/>
        <v>133300</v>
      </c>
      <c r="I37" s="72">
        <f t="shared" si="9"/>
        <v>168200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181400</v>
      </c>
      <c r="N37" s="72">
        <f t="shared" si="9"/>
        <v>0</v>
      </c>
      <c r="O37" s="72">
        <f t="shared" si="9"/>
        <v>3000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72" t="s">
        <v>292</v>
      </c>
      <c r="B39" s="273"/>
      <c r="C39" s="274" t="s">
        <v>54</v>
      </c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N39" s="275"/>
      <c r="O39" s="275"/>
      <c r="P39" s="276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13530119</v>
      </c>
      <c r="D41" s="203">
        <f t="shared" ref="D41:P41" si="11">-D7</f>
        <v>0</v>
      </c>
      <c r="E41" s="203">
        <f t="shared" si="11"/>
        <v>0</v>
      </c>
      <c r="F41" s="203">
        <f t="shared" si="11"/>
        <v>159700</v>
      </c>
      <c r="G41" s="203">
        <f t="shared" si="11"/>
        <v>13319219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51200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32756187</v>
      </c>
      <c r="D42" s="15">
        <f t="shared" ref="D42:P42" si="12">+D62+D69</f>
        <v>18052287</v>
      </c>
      <c r="E42" s="15">
        <f t="shared" si="12"/>
        <v>0</v>
      </c>
      <c r="F42" s="15">
        <f t="shared" si="12"/>
        <v>332000</v>
      </c>
      <c r="G42" s="15">
        <f t="shared" si="12"/>
        <v>14000000</v>
      </c>
      <c r="H42" s="15">
        <f t="shared" si="12"/>
        <v>73000</v>
      </c>
      <c r="I42" s="15">
        <f t="shared" si="12"/>
        <v>168500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127400</v>
      </c>
      <c r="N42" s="15">
        <f t="shared" si="12"/>
        <v>0</v>
      </c>
      <c r="O42" s="15">
        <f t="shared" si="12"/>
        <v>3000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-16236282</v>
      </c>
      <c r="D43" s="115"/>
      <c r="E43" s="115"/>
      <c r="F43" s="115">
        <v>-197900</v>
      </c>
      <c r="G43" s="115">
        <f>-15981082-3100</f>
        <v>-15984182</v>
      </c>
      <c r="H43" s="115"/>
      <c r="I43" s="115"/>
      <c r="J43" s="3"/>
      <c r="K43" s="115"/>
      <c r="L43" s="115"/>
      <c r="M43" s="115"/>
      <c r="N43" s="115"/>
      <c r="O43" s="115">
        <v>-54200</v>
      </c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30050024</v>
      </c>
      <c r="D44" s="15">
        <f>+D41+D42+D43</f>
        <v>18052287</v>
      </c>
      <c r="E44" s="15">
        <f t="shared" ref="E44:P44" si="13">+E41+E42+E43</f>
        <v>0</v>
      </c>
      <c r="F44" s="15">
        <f t="shared" si="13"/>
        <v>293800</v>
      </c>
      <c r="G44" s="15">
        <f t="shared" si="13"/>
        <v>11335037</v>
      </c>
      <c r="H44" s="15">
        <f t="shared" si="13"/>
        <v>73000</v>
      </c>
      <c r="I44" s="15">
        <f t="shared" si="13"/>
        <v>168500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127400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30050024</v>
      </c>
      <c r="D45" s="138">
        <f>+'PLAN RASHODA I IZDATAKA'!D71</f>
        <v>18052287</v>
      </c>
      <c r="E45" s="138">
        <f>+'PLAN RASHODA I IZDATAKA'!E71</f>
        <v>0</v>
      </c>
      <c r="F45" s="138">
        <f>+'PLAN RASHODA I IZDATAKA'!F71</f>
        <v>293800</v>
      </c>
      <c r="G45" s="138">
        <f>+'PLAN RASHODA I IZDATAKA'!G71</f>
        <v>11335037</v>
      </c>
      <c r="H45" s="138">
        <f>+'PLAN RASHODA I IZDATAKA'!H71</f>
        <v>73000</v>
      </c>
      <c r="I45" s="138">
        <f>+'PLAN RASHODA I IZDATAKA'!I71</f>
        <v>168500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127400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73000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73000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168500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168500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4000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4000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14000000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14000000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328000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328000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127400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127400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18052287</v>
      </c>
      <c r="D59" s="204">
        <f>SUMIFS('Plan prihoda za unos u SAP'!$H$3:$H$501,'Plan prihoda za unos u SAP'!$C$3:$C$501,"=11",'Plan prihoda za unos u SAP'!$K$3:$K$501,"=671")</f>
        <v>18052287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32753187</v>
      </c>
      <c r="D62" s="4">
        <f t="shared" ref="D62:P62" si="17">SUM(D47:D61)</f>
        <v>18052287</v>
      </c>
      <c r="E62" s="4">
        <f t="shared" si="17"/>
        <v>0</v>
      </c>
      <c r="F62" s="4">
        <f t="shared" si="17"/>
        <v>332000</v>
      </c>
      <c r="G62" s="4">
        <f t="shared" si="17"/>
        <v>14000000</v>
      </c>
      <c r="H62" s="4">
        <f t="shared" si="17"/>
        <v>73000</v>
      </c>
      <c r="I62" s="4">
        <f t="shared" si="17"/>
        <v>168500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127400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3000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3000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3000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3000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77" t="s">
        <v>339</v>
      </c>
      <c r="B73" s="277"/>
      <c r="C73" s="72">
        <f>SUM(D73:P73)</f>
        <v>32756187</v>
      </c>
      <c r="D73" s="72">
        <f t="shared" ref="D73:P73" si="20">+D72+D69+D62</f>
        <v>18052287</v>
      </c>
      <c r="E73" s="72">
        <f t="shared" si="20"/>
        <v>0</v>
      </c>
      <c r="F73" s="72">
        <f t="shared" si="20"/>
        <v>332000</v>
      </c>
      <c r="G73" s="72">
        <f t="shared" si="20"/>
        <v>14000000</v>
      </c>
      <c r="H73" s="72">
        <f t="shared" si="20"/>
        <v>73000</v>
      </c>
      <c r="I73" s="72">
        <f t="shared" si="20"/>
        <v>168500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127400</v>
      </c>
      <c r="N73" s="72">
        <f t="shared" si="20"/>
        <v>0</v>
      </c>
      <c r="O73" s="72">
        <f t="shared" si="20"/>
        <v>3000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72" t="s">
        <v>292</v>
      </c>
      <c r="B75" s="273"/>
      <c r="C75" s="274" t="s">
        <v>840</v>
      </c>
      <c r="D75" s="275"/>
      <c r="E75" s="275"/>
      <c r="F75" s="275"/>
      <c r="G75" s="275"/>
      <c r="H75" s="275"/>
      <c r="I75" s="275"/>
      <c r="J75" s="275"/>
      <c r="K75" s="275"/>
      <c r="L75" s="275"/>
      <c r="M75" s="275"/>
      <c r="N75" s="275"/>
      <c r="O75" s="275"/>
      <c r="P75" s="276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16236282</v>
      </c>
      <c r="D77" s="203">
        <f t="shared" ref="D77:P77" si="22">-D43</f>
        <v>0</v>
      </c>
      <c r="E77" s="203">
        <f t="shared" si="22"/>
        <v>0</v>
      </c>
      <c r="F77" s="203">
        <f t="shared" si="22"/>
        <v>197900</v>
      </c>
      <c r="G77" s="203">
        <f t="shared" si="22"/>
        <v>15984182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54200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32915167</v>
      </c>
      <c r="D78" s="15">
        <f t="shared" ref="D78:P78" si="23">+D98+D105</f>
        <v>18095067</v>
      </c>
      <c r="E78" s="15">
        <f t="shared" si="23"/>
        <v>0</v>
      </c>
      <c r="F78" s="15">
        <f t="shared" si="23"/>
        <v>364000</v>
      </c>
      <c r="G78" s="15">
        <f t="shared" si="23"/>
        <v>14200000</v>
      </c>
      <c r="H78" s="15">
        <f t="shared" si="23"/>
        <v>0</v>
      </c>
      <c r="I78" s="15">
        <f t="shared" si="23"/>
        <v>158100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95000</v>
      </c>
      <c r="N78" s="15">
        <f t="shared" si="23"/>
        <v>0</v>
      </c>
      <c r="O78" s="15">
        <f t="shared" si="23"/>
        <v>3000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-19059978</v>
      </c>
      <c r="D79" s="115"/>
      <c r="E79" s="115"/>
      <c r="F79" s="115">
        <v>-262900</v>
      </c>
      <c r="G79" s="115">
        <f>-18734278-5600</f>
        <v>-18739878</v>
      </c>
      <c r="H79" s="115"/>
      <c r="I79" s="115"/>
      <c r="J79" s="3"/>
      <c r="K79" s="115"/>
      <c r="L79" s="115"/>
      <c r="M79" s="115"/>
      <c r="N79" s="115"/>
      <c r="O79" s="115">
        <v>-57200</v>
      </c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30091471</v>
      </c>
      <c r="D80" s="15">
        <f>+D77+D78+D79</f>
        <v>18095067</v>
      </c>
      <c r="E80" s="15">
        <f t="shared" ref="E80:P80" si="24">+E77+E78+E79</f>
        <v>0</v>
      </c>
      <c r="F80" s="15">
        <f t="shared" si="24"/>
        <v>299000</v>
      </c>
      <c r="G80" s="15">
        <f t="shared" si="24"/>
        <v>11444304</v>
      </c>
      <c r="H80" s="15">
        <f t="shared" si="24"/>
        <v>0</v>
      </c>
      <c r="I80" s="15">
        <f t="shared" si="24"/>
        <v>158100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95000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30091471</v>
      </c>
      <c r="D81" s="138">
        <f>+'PLAN RASHODA I IZDATAKA'!D91</f>
        <v>18095067</v>
      </c>
      <c r="E81" s="138">
        <f>+'PLAN RASHODA I IZDATAKA'!E91</f>
        <v>0</v>
      </c>
      <c r="F81" s="138">
        <f>+'PLAN RASHODA I IZDATAKA'!F91</f>
        <v>299000</v>
      </c>
      <c r="G81" s="138">
        <f>+'PLAN RASHODA I IZDATAKA'!G91</f>
        <v>11444304</v>
      </c>
      <c r="H81" s="138">
        <f>+'PLAN RASHODA I IZDATAKA'!H91</f>
        <v>0</v>
      </c>
      <c r="I81" s="138">
        <f>+'PLAN RASHODA I IZDATAKA'!I91</f>
        <v>158100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95000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158100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158100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4000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4000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14200000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14200000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360000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360000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95000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95000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18095067</v>
      </c>
      <c r="D95" s="204">
        <f>SUMIFS('Plan prihoda za unos u SAP'!$I$3:$I$501,'Plan prihoda za unos u SAP'!$C$3:$C$501,"=11",'Plan prihoda za unos u SAP'!$K$3:$K$501,"=671")</f>
        <v>18095067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32912167</v>
      </c>
      <c r="D98" s="4">
        <f t="shared" ref="D98:P98" si="28">SUM(D83:D97)</f>
        <v>18095067</v>
      </c>
      <c r="E98" s="4">
        <f t="shared" si="28"/>
        <v>0</v>
      </c>
      <c r="F98" s="4">
        <f t="shared" si="28"/>
        <v>364000</v>
      </c>
      <c r="G98" s="4">
        <f t="shared" si="28"/>
        <v>14200000</v>
      </c>
      <c r="H98" s="4">
        <f t="shared" si="28"/>
        <v>0</v>
      </c>
      <c r="I98" s="4">
        <f t="shared" si="28"/>
        <v>158100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95000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3000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3000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3000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3000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77" t="s">
        <v>339</v>
      </c>
      <c r="B109" s="277"/>
      <c r="C109" s="72">
        <f>SUM(D109:P109)</f>
        <v>32915167</v>
      </c>
      <c r="D109" s="72">
        <f t="shared" ref="D109:P109" si="31">+D108+D105+D98</f>
        <v>18095067</v>
      </c>
      <c r="E109" s="72">
        <f t="shared" si="31"/>
        <v>0</v>
      </c>
      <c r="F109" s="72">
        <f t="shared" si="31"/>
        <v>364000</v>
      </c>
      <c r="G109" s="72">
        <f t="shared" si="31"/>
        <v>14200000</v>
      </c>
      <c r="H109" s="72">
        <f t="shared" si="31"/>
        <v>0</v>
      </c>
      <c r="I109" s="72">
        <f t="shared" si="31"/>
        <v>158100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95000</v>
      </c>
      <c r="N109" s="72">
        <f t="shared" si="31"/>
        <v>0</v>
      </c>
      <c r="O109" s="72">
        <f t="shared" si="31"/>
        <v>3000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xWindow="1083" yWindow="652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112" zoomScaleNormal="112" zoomScaleSheetLayoutView="80" workbookViewId="0">
      <pane xSplit="3" ySplit="3" topLeftCell="D85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9" t="s">
        <v>841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35356229</v>
      </c>
      <c r="D3" s="123">
        <f t="shared" ref="D3:P3" si="0">D4+D38+D58</f>
        <v>17261248</v>
      </c>
      <c r="E3" s="123">
        <f t="shared" si="0"/>
        <v>0</v>
      </c>
      <c r="F3" s="123">
        <f t="shared" si="0"/>
        <v>351300</v>
      </c>
      <c r="G3" s="123">
        <f t="shared" si="0"/>
        <v>17055781</v>
      </c>
      <c r="H3" s="123">
        <f t="shared" si="0"/>
        <v>338300</v>
      </c>
      <c r="I3" s="123">
        <f t="shared" si="0"/>
        <v>168200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181400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28993229</v>
      </c>
      <c r="D4" s="127">
        <f>D5+D9+D15+D19+D23+D30+D33</f>
        <v>17121248</v>
      </c>
      <c r="E4" s="127">
        <f t="shared" ref="E4:P4" si="1">E5+E9+E15+E19+E23+E30+E33</f>
        <v>0</v>
      </c>
      <c r="F4" s="127">
        <f t="shared" si="1"/>
        <v>351300</v>
      </c>
      <c r="G4" s="127">
        <f t="shared" si="1"/>
        <v>10847581</v>
      </c>
      <c r="H4" s="127">
        <f t="shared" si="1"/>
        <v>327500</v>
      </c>
      <c r="I4" s="127">
        <f t="shared" si="1"/>
        <v>168200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177400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23015528</v>
      </c>
      <c r="D5" s="13">
        <f>SUM(D6:D8)</f>
        <v>15775589</v>
      </c>
      <c r="E5" s="13">
        <f t="shared" ref="E5:P5" si="3">SUM(E6:E8)</f>
        <v>0</v>
      </c>
      <c r="F5" s="13">
        <f t="shared" si="3"/>
        <v>144800</v>
      </c>
      <c r="G5" s="13">
        <f t="shared" si="3"/>
        <v>6702239</v>
      </c>
      <c r="H5" s="13">
        <f t="shared" si="3"/>
        <v>248500</v>
      </c>
      <c r="I5" s="13">
        <f t="shared" si="3"/>
        <v>17000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127400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19139812</v>
      </c>
      <c r="D6" s="143">
        <f>SUMIFS('Plan rashoda za unos u SAP'!$I$3:$I$501,'Plan rashoda za unos u SAP'!$C$3:$C$501,"=11",'Plan rashoda za unos u SAP'!$M$3:$M$501,"=311")</f>
        <v>13309812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124800</v>
      </c>
      <c r="G6" s="143">
        <f>SUMIFS('Plan rashoda za unos u SAP'!$I$3:$I$501,'Plan rashoda za unos u SAP'!$C$3:$C$501,"=43",'Plan rashoda za unos u SAP'!$M$3:$M$501,"=311")</f>
        <v>5368000</v>
      </c>
      <c r="H6" s="143">
        <f>SUMIFS('Plan rashoda za unos u SAP'!$I$3:$I$501,'Plan rashoda za unos u SAP'!$C$3:$C$501,"=51",'Plan rashoda za unos u SAP'!$M$3:$M$501,"=311")</f>
        <v>214000</v>
      </c>
      <c r="I6" s="143">
        <f>SUMIFS('Plan rashoda za unos u SAP'!$I$3:$I$501,'Plan rashoda za unos u SAP'!$C$3:$C$501,"=52",'Plan rashoda za unos u SAP'!$M$3:$M$501,"=311")</f>
        <v>14500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108700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800500</v>
      </c>
      <c r="D7" s="143">
        <f>SUMIFS('Plan rashoda za unos u SAP'!$I$3:$I$501,'Plan rashoda za unos u SAP'!$C$3:$C$501,"=11",'Plan rashoda za unos u SAP'!$M$3:$M$501,"=312")</f>
        <v>361450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0</v>
      </c>
      <c r="G7" s="143">
        <f>SUMIFS('Plan rashoda za unos u SAP'!$I$3:$I$501,'Plan rashoda za unos u SAP'!$C$3:$C$501,"=43",'Plan rashoda za unos u SAP'!$M$3:$M$501,"=312")</f>
        <v>439050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3075216</v>
      </c>
      <c r="D8" s="143">
        <f>SUMIFS('Plan rashoda za unos u SAP'!$I$3:$I$501,'Plan rashoda za unos u SAP'!$C$3:$C$501,"=11",'Plan rashoda za unos u SAP'!$M$3:$M$501,"=313")</f>
        <v>2104327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20000</v>
      </c>
      <c r="G8" s="143">
        <f>SUMIFS('Plan rashoda za unos u SAP'!$I$3:$I$501,'Plan rashoda za unos u SAP'!$C$3:$C$501,"=43",'Plan rashoda za unos u SAP'!$M$3:$M$501,"=313")</f>
        <v>895189</v>
      </c>
      <c r="H8" s="143">
        <f>SUMIFS('Plan rashoda za unos u SAP'!$I$3:$I$501,'Plan rashoda za unos u SAP'!$C$3:$C$501,"=51",'Plan rashoda za unos u SAP'!$M$3:$M$501,"=313")</f>
        <v>34500</v>
      </c>
      <c r="I8" s="143">
        <f>SUMIFS('Plan rashoda za unos u SAP'!$I$3:$I$501,'Plan rashoda za unos u SAP'!$C$3:$C$501,"=52",'Plan rashoda za unos u SAP'!$M$3:$M$501,"=313")</f>
        <v>2500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18700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5765501</v>
      </c>
      <c r="D9" s="79">
        <f t="shared" ref="D9:P9" si="4">SUM(D10:D14)</f>
        <v>1340659</v>
      </c>
      <c r="E9" s="79">
        <f t="shared" si="4"/>
        <v>0</v>
      </c>
      <c r="F9" s="79">
        <f t="shared" si="4"/>
        <v>202500</v>
      </c>
      <c r="G9" s="79">
        <f t="shared" si="4"/>
        <v>3942142</v>
      </c>
      <c r="H9" s="79">
        <f t="shared" si="4"/>
        <v>79000</v>
      </c>
      <c r="I9" s="79">
        <f t="shared" si="4"/>
        <v>151200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50000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978300</v>
      </c>
      <c r="D10" s="143">
        <f>SUMIFS('Plan rashoda za unos u SAP'!$I$3:$I$501,'Plan rashoda za unos u SAP'!$C$3:$C$501,"=11",'Plan rashoda za unos u SAP'!$M$3:$M$501,"=321")</f>
        <v>255158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3000</v>
      </c>
      <c r="G10" s="143">
        <f>SUMIFS('Plan rashoda za unos u SAP'!$I$3:$I$501,'Plan rashoda za unos u SAP'!$C$3:$C$501,"=43",'Plan rashoda za unos u SAP'!$M$3:$M$501,"=321")</f>
        <v>591542</v>
      </c>
      <c r="H10" s="143">
        <f>SUMIFS('Plan rashoda za unos u SAP'!$I$3:$I$501,'Plan rashoda za unos u SAP'!$C$3:$C$501,"=51",'Plan rashoda za unos u SAP'!$M$3:$M$501,"=321")</f>
        <v>20400</v>
      </c>
      <c r="I10" s="143">
        <f>SUMIFS('Plan rashoda za unos u SAP'!$I$3:$I$501,'Plan rashoda za unos u SAP'!$C$3:$C$501,"=52",'Plan rashoda za unos u SAP'!$M$3:$M$501,"=321")</f>
        <v>103200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5000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759701</v>
      </c>
      <c r="D11" s="143">
        <f>SUMIFS('Plan rashoda za unos u SAP'!$I$3:$I$501,'Plan rashoda za unos u SAP'!$C$3:$C$501,"=11",'Plan rashoda za unos u SAP'!$M$3:$M$501,"=322")</f>
        <v>348701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1000</v>
      </c>
      <c r="G11" s="143">
        <f>SUMIFS('Plan rashoda za unos u SAP'!$I$3:$I$501,'Plan rashoda za unos u SAP'!$C$3:$C$501,"=43",'Plan rashoda za unos u SAP'!$M$3:$M$501,"=322")</f>
        <v>410000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2836500</v>
      </c>
      <c r="D12" s="143">
        <f>SUMIFS('Plan rashoda za unos u SAP'!$I$3:$I$501,'Plan rashoda za unos u SAP'!$C$3:$C$501,"=11",'Plan rashoda za unos u SAP'!$M$3:$M$501,"=323")</f>
        <v>639800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178500</v>
      </c>
      <c r="G12" s="143">
        <f>SUMIFS('Plan rashoda za unos u SAP'!$I$3:$I$501,'Plan rashoda za unos u SAP'!$C$3:$C$501,"=43",'Plan rashoda za unos u SAP'!$M$3:$M$501,"=323")</f>
        <v>1912400</v>
      </c>
      <c r="H12" s="143">
        <f>SUMIFS('Plan rashoda za unos u SAP'!$I$3:$I$501,'Plan rashoda za unos u SAP'!$C$3:$C$501,"=51",'Plan rashoda za unos u SAP'!$M$3:$M$501,"=323")</f>
        <v>49800</v>
      </c>
      <c r="I12" s="143">
        <f>SUMIFS('Plan rashoda za unos u SAP'!$I$3:$I$501,'Plan rashoda za unos u SAP'!$C$3:$C$501,"=52",'Plan rashoda za unos u SAP'!$M$3:$M$501,"=323")</f>
        <v>42000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14000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304000</v>
      </c>
      <c r="D13" s="143">
        <f>SUMIFS('Plan rashoda za unos u SAP'!$I$3:$I$501,'Plan rashoda za unos u SAP'!$C$3:$C$501,"=11",'Plan rashoda za unos u SAP'!$M$3:$M$501,"=324")</f>
        <v>65000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11000</v>
      </c>
      <c r="G13" s="143">
        <f>SUMIFS('Plan rashoda za unos u SAP'!$I$3:$I$501,'Plan rashoda za unos u SAP'!$C$3:$C$501,"=43",'Plan rashoda za unos u SAP'!$M$3:$M$501,"=324")</f>
        <v>200000</v>
      </c>
      <c r="H13" s="143">
        <f>SUMIFS('Plan rashoda za unos u SAP'!$I$3:$I$501,'Plan rashoda za unos u SAP'!$C$3:$C$501,"=51",'Plan rashoda za unos u SAP'!$M$3:$M$501,"=324")</f>
        <v>4000</v>
      </c>
      <c r="I13" s="143">
        <f>SUMIFS('Plan rashoda za unos u SAP'!$I$3:$I$501,'Plan rashoda za unos u SAP'!$C$3:$C$501,"=52",'Plan rashoda za unos u SAP'!$M$3:$M$501,"=324")</f>
        <v>2000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22000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887000</v>
      </c>
      <c r="D14" s="143">
        <f>SUMIFS('Plan rashoda za unos u SAP'!$I$3:$I$501,'Plan rashoda za unos u SAP'!$C$3:$C$501,"=11",'Plan rashoda za unos u SAP'!$M$3:$M$501,"=329")</f>
        <v>32000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9000</v>
      </c>
      <c r="G14" s="143">
        <f>SUMIFS('Plan rashoda za unos u SAP'!$I$3:$I$501,'Plan rashoda za unos u SAP'!$C$3:$C$501,"=43",'Plan rashoda za unos u SAP'!$M$3:$M$501,"=329")</f>
        <v>828200</v>
      </c>
      <c r="H14" s="143">
        <f>SUMIFS('Plan rashoda za unos u SAP'!$I$3:$I$501,'Plan rashoda za unos u SAP'!$C$3:$C$501,"=51",'Plan rashoda za unos u SAP'!$M$3:$M$501,"=329")</f>
        <v>4800</v>
      </c>
      <c r="I14" s="143">
        <f>SUMIFS('Plan rashoda za unos u SAP'!$I$3:$I$501,'Plan rashoda za unos u SAP'!$C$3:$C$501,"=52",'Plan rashoda za unos u SAP'!$M$3:$M$501,"=329")</f>
        <v>4000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9000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152200</v>
      </c>
      <c r="D15" s="4">
        <f t="shared" ref="D15:P15" si="5">SUM(D16:D18)</f>
        <v>5000</v>
      </c>
      <c r="E15" s="4">
        <f t="shared" si="5"/>
        <v>0</v>
      </c>
      <c r="F15" s="4">
        <f t="shared" si="5"/>
        <v>4000</v>
      </c>
      <c r="G15" s="4">
        <f t="shared" si="5"/>
        <v>143200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152200</v>
      </c>
      <c r="D18" s="143">
        <f>SUMIFS('Plan rashoda za unos u SAP'!$I$3:$I$501,'Plan rashoda za unos u SAP'!$C$3:$C$501,"=11",'Plan rashoda za unos u SAP'!$M$3:$M$501,"=343")</f>
        <v>5000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4000</v>
      </c>
      <c r="G18" s="143">
        <f>SUMIFS('Plan rashoda za unos u SAP'!$I$3:$I$501,'Plan rashoda za unos u SAP'!$C$3:$C$501,"=43",'Plan rashoda za unos u SAP'!$M$3:$M$501,"=343")</f>
        <v>143200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25000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25000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25000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25000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35000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35000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35000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35000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6363000</v>
      </c>
      <c r="D38" s="128">
        <f>D42+D49+D51+D53+D39</f>
        <v>140000</v>
      </c>
      <c r="E38" s="128">
        <f t="shared" ref="E38:P38" si="10">E42+E49+E51+E53+E39</f>
        <v>0</v>
      </c>
      <c r="F38" s="128">
        <f t="shared" si="10"/>
        <v>0</v>
      </c>
      <c r="G38" s="128">
        <f t="shared" si="10"/>
        <v>6208200</v>
      </c>
      <c r="H38" s="128">
        <f t="shared" si="10"/>
        <v>10800</v>
      </c>
      <c r="I38" s="128">
        <f t="shared" si="10"/>
        <v>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4000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6363000</v>
      </c>
      <c r="D42" s="4">
        <f t="shared" ref="D42:P42" si="12">SUM(D43:D48)</f>
        <v>140000</v>
      </c>
      <c r="E42" s="4">
        <f t="shared" si="12"/>
        <v>0</v>
      </c>
      <c r="F42" s="4">
        <f t="shared" si="12"/>
        <v>0</v>
      </c>
      <c r="G42" s="4">
        <f t="shared" si="12"/>
        <v>6208200</v>
      </c>
      <c r="H42" s="4">
        <f t="shared" si="12"/>
        <v>10800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4000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5800000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5800000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358000</v>
      </c>
      <c r="D44" s="143">
        <f>SUMIFS('Plan rashoda za unos u SAP'!$I$3:$I$501,'Plan rashoda za unos u SAP'!$C$3:$C$501,"=11",'Plan rashoda za unos u SAP'!$M$3:$M$501,"=422")</f>
        <v>95000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0</v>
      </c>
      <c r="G44" s="143">
        <f>SUMIFS('Plan rashoda za unos u SAP'!$I$3:$I$501,'Plan rashoda za unos u SAP'!$C$3:$C$501,"=43",'Plan rashoda za unos u SAP'!$M$3:$M$501,"=422")</f>
        <v>252200</v>
      </c>
      <c r="H44" s="143">
        <f>SUMIFS('Plan rashoda za unos u SAP'!$I$3:$I$501,'Plan rashoda za unos u SAP'!$C$3:$C$501,"=51",'Plan rashoda za unos u SAP'!$M$3:$M$501,"=422")</f>
        <v>10800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200000</v>
      </c>
      <c r="D46" s="143">
        <f>SUMIFS('Plan rashoda za unos u SAP'!$I$3:$I$501,'Plan rashoda za unos u SAP'!$C$3:$C$501,"=11",'Plan rashoda za unos u SAP'!$M$3:$M$501,"=424")</f>
        <v>45000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151000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4000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5000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5000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30050024</v>
      </c>
      <c r="D71" s="123">
        <f t="shared" ref="D71:P71" si="21">+D72+D80+D86</f>
        <v>18052287</v>
      </c>
      <c r="E71" s="123">
        <f t="shared" si="21"/>
        <v>0</v>
      </c>
      <c r="F71" s="123">
        <f t="shared" si="21"/>
        <v>293800</v>
      </c>
      <c r="G71" s="123">
        <f t="shared" si="21"/>
        <v>11335037</v>
      </c>
      <c r="H71" s="123">
        <f t="shared" si="21"/>
        <v>73000</v>
      </c>
      <c r="I71" s="123">
        <f t="shared" si="21"/>
        <v>168500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127400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29484024</v>
      </c>
      <c r="D72" s="132">
        <f t="shared" ref="D72:P72" si="22">SUM(D73:D79)</f>
        <v>17912287</v>
      </c>
      <c r="E72" s="132">
        <f t="shared" si="22"/>
        <v>0</v>
      </c>
      <c r="F72" s="132">
        <f t="shared" si="22"/>
        <v>293800</v>
      </c>
      <c r="G72" s="132">
        <f t="shared" si="22"/>
        <v>10909037</v>
      </c>
      <c r="H72" s="132">
        <f t="shared" si="22"/>
        <v>73000</v>
      </c>
      <c r="I72" s="132">
        <f t="shared" si="22"/>
        <v>168500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127400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23663016</v>
      </c>
      <c r="D73" s="143">
        <f>SUMIFS('Plan rashoda za unos u SAP'!$J$3:$J$501,'Plan rashoda za unos u SAP'!$C$3:$C$501,"=11",'Plan rashoda za unos u SAP'!$N$3:$N$501,"=31")</f>
        <v>16403466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134800</v>
      </c>
      <c r="G73" s="143">
        <f>SUMIFS('Plan rashoda za unos u SAP'!$J$3:$J$501,'Plan rashoda za unos u SAP'!$C$3:$C$501,"=43",'Plan rashoda za unos u SAP'!$N$3:$N$501,"=31")</f>
        <v>6986650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10700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127400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5609008</v>
      </c>
      <c r="D74" s="143">
        <f>SUMIFS('Plan rashoda za unos u SAP'!$J$3:$J$501,'Plan rashoda za unos u SAP'!$C$3:$C$501,"=11",'Plan rashoda za unos u SAP'!$N$3:$N$501,"=32")</f>
        <v>1503821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155000</v>
      </c>
      <c r="G74" s="143">
        <f>SUMIFS('Plan rashoda za unos u SAP'!$J$3:$J$501,'Plan rashoda za unos u SAP'!$C$3:$C$501,"=43",'Plan rashoda za unos u SAP'!$N$3:$N$501,"=32")</f>
        <v>3719387</v>
      </c>
      <c r="H74" s="143">
        <f>SUMIFS('Plan rashoda za unos u SAP'!$J$3:$J$501,'Plan rashoda za unos u SAP'!$C$3:$C$501,"=51",'Plan rashoda za unos u SAP'!$N$3:$N$501,"=32")</f>
        <v>73000</v>
      </c>
      <c r="I74" s="143">
        <f>SUMIFS('Plan rashoda za unos u SAP'!$J$3:$J$501,'Plan rashoda za unos u SAP'!$C$3:$C$501,"=52",'Plan rashoda za unos u SAP'!$N$3:$N$501,"=32")</f>
        <v>157800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152000</v>
      </c>
      <c r="D75" s="143">
        <f>SUMIFS('Plan rashoda za unos u SAP'!$J$3:$J$501,'Plan rashoda za unos u SAP'!$C$3:$C$501,"=11",'Plan rashoda za unos u SAP'!$N$3:$N$501,"=34")</f>
        <v>5000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4000</v>
      </c>
      <c r="G75" s="143">
        <f>SUMIFS('Plan rashoda za unos u SAP'!$J$3:$J$501,'Plan rashoda za unos u SAP'!$C$3:$C$501,"=43",'Plan rashoda za unos u SAP'!$N$3:$N$501,"=34")</f>
        <v>143000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25000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25000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35000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35000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566000</v>
      </c>
      <c r="D80" s="133">
        <f t="shared" ref="D80:P80" si="24">SUM(D81:D85)</f>
        <v>140000</v>
      </c>
      <c r="E80" s="133">
        <f t="shared" si="24"/>
        <v>0</v>
      </c>
      <c r="F80" s="133">
        <f t="shared" si="24"/>
        <v>0</v>
      </c>
      <c r="G80" s="133">
        <f t="shared" si="24"/>
        <v>426000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566000</v>
      </c>
      <c r="D82" s="143">
        <f>SUMIFS('Plan rashoda za unos u SAP'!$J$3:$J$501,'Plan rashoda za unos u SAP'!$C$3:$C$501,"=11",'Plan rashoda za unos u SAP'!$N$3:$N$501,"=42")</f>
        <v>140000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0</v>
      </c>
      <c r="G82" s="143">
        <f>SUMIFS('Plan rashoda za unos u SAP'!$J$3:$J$501,'Plan rashoda za unos u SAP'!$C$3:$C$501,"=43",'Plan rashoda za unos u SAP'!$N$3:$N$501,"=42")</f>
        <v>426000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30091471</v>
      </c>
      <c r="D91" s="123">
        <f t="shared" ref="D91:P91" si="27">D92+D100+D106</f>
        <v>18095067</v>
      </c>
      <c r="E91" s="123">
        <f t="shared" si="27"/>
        <v>0</v>
      </c>
      <c r="F91" s="123">
        <f t="shared" si="27"/>
        <v>299000</v>
      </c>
      <c r="G91" s="123">
        <f t="shared" si="27"/>
        <v>11444304</v>
      </c>
      <c r="H91" s="123">
        <f t="shared" si="27"/>
        <v>0</v>
      </c>
      <c r="I91" s="123">
        <f t="shared" si="27"/>
        <v>158100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95000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29550471</v>
      </c>
      <c r="D92" s="132">
        <f t="shared" ref="D92:P92" si="28">SUM(D93:D99)</f>
        <v>17955067</v>
      </c>
      <c r="E92" s="132">
        <f t="shared" si="28"/>
        <v>0</v>
      </c>
      <c r="F92" s="132">
        <f t="shared" si="28"/>
        <v>299000</v>
      </c>
      <c r="G92" s="132">
        <f t="shared" si="28"/>
        <v>11043304</v>
      </c>
      <c r="H92" s="132">
        <f t="shared" si="28"/>
        <v>0</v>
      </c>
      <c r="I92" s="132">
        <f t="shared" si="28"/>
        <v>158100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95000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23724032</v>
      </c>
      <c r="D93" s="143">
        <f>SUMIFS('Plan rashoda za unos u SAP'!$K$3:$K$501,'Plan rashoda za unos u SAP'!$C$3:$C$501,"=11",'Plan rashoda za unos u SAP'!$N$3:$N$501,"=31")</f>
        <v>16444415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134000</v>
      </c>
      <c r="G93" s="143">
        <f>SUMIFS('Plan rashoda za unos u SAP'!$K$3:$K$501,'Plan rashoda za unos u SAP'!$C$3:$C$501,"=43",'Plan rashoda za unos u SAP'!$N$3:$N$501,"=31")</f>
        <v>7046117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4500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95000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5614439</v>
      </c>
      <c r="D94" s="143">
        <f>SUMIFS('Plan rashoda za unos u SAP'!$K$3:$K$501,'Plan rashoda za unos u SAP'!$C$3:$C$501,"=11",'Plan rashoda za unos u SAP'!$N$3:$N$501,"=32")</f>
        <v>1505652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161000</v>
      </c>
      <c r="G94" s="143">
        <f>SUMIFS('Plan rashoda za unos u SAP'!$K$3:$K$501,'Plan rashoda za unos u SAP'!$C$3:$C$501,"=43",'Plan rashoda za unos u SAP'!$N$3:$N$501,"=32")</f>
        <v>3794187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153600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152000</v>
      </c>
      <c r="D95" s="143">
        <f>SUMIFS('Plan rashoda za unos u SAP'!$K$3:$K$501,'Plan rashoda za unos u SAP'!$C$3:$C$501,"=11",'Plan rashoda za unos u SAP'!$N$3:$N$501,"=34")</f>
        <v>5000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4000</v>
      </c>
      <c r="G95" s="143">
        <f>SUMIFS('Plan rashoda za unos u SAP'!$K$3:$K$501,'Plan rashoda za unos u SAP'!$C$3:$C$501,"=43",'Plan rashoda za unos u SAP'!$N$3:$N$501,"=34")</f>
        <v>143000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25000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25000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35000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35000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541000</v>
      </c>
      <c r="D100" s="133">
        <f t="shared" ref="D100:P100" si="30">SUM(D101:D105)</f>
        <v>140000</v>
      </c>
      <c r="E100" s="133">
        <f t="shared" si="30"/>
        <v>0</v>
      </c>
      <c r="F100" s="133">
        <f t="shared" si="30"/>
        <v>0</v>
      </c>
      <c r="G100" s="133">
        <f t="shared" si="30"/>
        <v>401000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541000</v>
      </c>
      <c r="D102" s="143">
        <f>SUMIFS('Plan rashoda za unos u SAP'!$K$3:$K$501,'Plan rashoda za unos u SAP'!$C$3:$C$501,"=11",'Plan rashoda za unos u SAP'!$N$3:$N$501,"=42")</f>
        <v>140000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0</v>
      </c>
      <c r="G102" s="143">
        <f>SUMIFS('Plan rashoda za unos u SAP'!$K$3:$K$501,'Plan rashoda za unos u SAP'!$C$3:$C$501,"=43",'Plan rashoda za unos u SAP'!$N$3:$N$501,"=42")</f>
        <v>401000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4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82" t="s">
        <v>240</v>
      </c>
      <c r="B10" s="284" t="s">
        <v>241</v>
      </c>
      <c r="C10" s="284" t="s">
        <v>242</v>
      </c>
      <c r="D10" s="287" t="s">
        <v>243</v>
      </c>
      <c r="E10" s="280" t="s">
        <v>853</v>
      </c>
      <c r="F10" s="280" t="s">
        <v>244</v>
      </c>
      <c r="G10" s="280" t="s">
        <v>245</v>
      </c>
      <c r="H10" s="280" t="s">
        <v>854</v>
      </c>
    </row>
    <row r="11" spans="1:8" ht="15.75" thickBot="1">
      <c r="A11" s="283"/>
      <c r="B11" s="285"/>
      <c r="C11" s="286"/>
      <c r="D11" s="288"/>
      <c r="E11" s="289"/>
      <c r="F11" s="281"/>
      <c r="G11" s="281"/>
      <c r="H11" s="281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="118" zoomScaleNormal="118" workbookViewId="0">
      <pane ySplit="2" topLeftCell="A3" activePane="bottomLeft" state="frozen"/>
      <selection pane="bottomLeft" activeCell="A57" sqref="A57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90" t="s">
        <v>855</v>
      </c>
      <c r="B1" s="290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52</v>
      </c>
      <c r="B3" s="149" t="str">
        <f>IFERROR(VLOOKUP(A3,$R$6:$S$16,2,FALSE),"")</f>
        <v>Ostale pomoći</v>
      </c>
      <c r="C3" s="154">
        <v>3211</v>
      </c>
      <c r="D3" s="149" t="str">
        <f t="shared" ref="D3:D66" si="0">IFERROR(VLOOKUP(C3,$U$5:$W$129,2,FALSE),"")</f>
        <v>Službena putovanja</v>
      </c>
      <c r="E3" s="253" t="s">
        <v>927</v>
      </c>
      <c r="F3" s="149" t="str">
        <f>IFERROR(VLOOKUP(E3,$AA$6:$AB$200,2,FALSE),"")</f>
        <v>ERASMUS+ projekt razvijanja pedagoških vještina kroz boravak na inozemnim ustanovama</v>
      </c>
      <c r="G3" s="198">
        <v>80000</v>
      </c>
      <c r="H3" s="198">
        <v>87000</v>
      </c>
      <c r="I3" s="198">
        <v>89000</v>
      </c>
      <c r="J3" s="226"/>
      <c r="K3" s="225"/>
      <c r="L3" s="225"/>
      <c r="M3" s="226"/>
      <c r="N3" s="226"/>
      <c r="P3" s="144" t="str">
        <f>LEFT(C3,3)</f>
        <v>321</v>
      </c>
      <c r="Q3" s="144" t="str">
        <f>LEFT(C3,2)</f>
        <v>32</v>
      </c>
    </row>
    <row r="4" spans="1:28" ht="409.5">
      <c r="A4" s="154">
        <v>51</v>
      </c>
      <c r="B4" s="149" t="str">
        <f t="shared" ref="B4:B67" si="1">IFERROR(VLOOKUP(A4,$R$6:$S$16,2,FALSE),"")</f>
        <v>Pomoći EU</v>
      </c>
      <c r="C4" s="154">
        <v>3111</v>
      </c>
      <c r="D4" s="149" t="str">
        <f t="shared" si="0"/>
        <v>Plaće za redovan rad</v>
      </c>
      <c r="E4" s="253" t="s">
        <v>914</v>
      </c>
      <c r="F4" s="149" t="str">
        <f t="shared" ref="F4:F67" si="2">IFERROR(VLOOKUP(E4,$AA$6:$AB$200,2,FALSE),"")</f>
        <v>NOVI PODPROJEKT</v>
      </c>
      <c r="G4" s="198">
        <v>112400</v>
      </c>
      <c r="H4" s="198">
        <v>0</v>
      </c>
      <c r="I4" s="198">
        <v>0</v>
      </c>
      <c r="J4" s="254" t="s">
        <v>1666</v>
      </c>
      <c r="K4" s="225" t="s">
        <v>1667</v>
      </c>
      <c r="L4" s="225" t="s">
        <v>1668</v>
      </c>
      <c r="M4" s="226" t="s">
        <v>1669</v>
      </c>
      <c r="N4" s="255" t="s">
        <v>1687</v>
      </c>
      <c r="P4" s="144" t="str">
        <f t="shared" ref="P4:P67" si="3">LEFT(C4,3)</f>
        <v>311</v>
      </c>
      <c r="Q4" s="144" t="str">
        <f t="shared" ref="Q4:Q67" si="4">LEFT(C4,2)</f>
        <v>31</v>
      </c>
      <c r="U4" s="150"/>
      <c r="V4" s="150"/>
    </row>
    <row r="5" spans="1:28" ht="33.75">
      <c r="A5" s="154">
        <v>43</v>
      </c>
      <c r="B5" s="149" t="str">
        <f t="shared" si="1"/>
        <v>Ostali prihodi za posebne namjene</v>
      </c>
      <c r="C5" s="154">
        <v>3111</v>
      </c>
      <c r="D5" s="149" t="str">
        <f t="shared" si="0"/>
        <v>Plaće za redovan rad</v>
      </c>
      <c r="E5" s="201" t="s">
        <v>914</v>
      </c>
      <c r="F5" s="149" t="str">
        <f t="shared" si="2"/>
        <v>NOVI PODPROJEKT</v>
      </c>
      <c r="G5" s="198">
        <v>28000</v>
      </c>
      <c r="H5" s="198">
        <v>0</v>
      </c>
      <c r="I5" s="198">
        <v>0</v>
      </c>
      <c r="J5" s="254" t="s">
        <v>1666</v>
      </c>
      <c r="K5" s="225" t="s">
        <v>1667</v>
      </c>
      <c r="L5" s="225" t="s">
        <v>1668</v>
      </c>
      <c r="M5" s="226" t="s">
        <v>1669</v>
      </c>
      <c r="N5" s="255"/>
      <c r="P5" s="144" t="str">
        <f t="shared" si="3"/>
        <v>311</v>
      </c>
      <c r="Q5" s="144" t="str">
        <f t="shared" si="4"/>
        <v>31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 ht="33.75">
      <c r="A6" s="154">
        <v>51</v>
      </c>
      <c r="B6" s="149" t="str">
        <f t="shared" si="1"/>
        <v>Pomoći EU</v>
      </c>
      <c r="C6" s="154">
        <v>3132</v>
      </c>
      <c r="D6" s="149" t="str">
        <f t="shared" si="0"/>
        <v>Doprinosi za obvezno zdravstveno osiguranje</v>
      </c>
      <c r="E6" s="201" t="s">
        <v>914</v>
      </c>
      <c r="F6" s="149" t="str">
        <f t="shared" si="2"/>
        <v>NOVI PODPROJEKT</v>
      </c>
      <c r="G6" s="198">
        <v>17800</v>
      </c>
      <c r="H6" s="198"/>
      <c r="I6" s="198"/>
      <c r="J6" s="254" t="s">
        <v>1666</v>
      </c>
      <c r="K6" s="225" t="s">
        <v>1667</v>
      </c>
      <c r="L6" s="225" t="s">
        <v>1668</v>
      </c>
      <c r="M6" s="226" t="s">
        <v>1669</v>
      </c>
      <c r="N6" s="226"/>
      <c r="P6" s="144" t="str">
        <f t="shared" si="3"/>
        <v>313</v>
      </c>
      <c r="Q6" s="144" t="str">
        <f t="shared" si="4"/>
        <v>31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 ht="33.75">
      <c r="A7" s="154">
        <v>43</v>
      </c>
      <c r="B7" s="149" t="str">
        <f t="shared" si="1"/>
        <v>Ostali prihodi za posebne namjene</v>
      </c>
      <c r="C7" s="154">
        <v>3132</v>
      </c>
      <c r="D7" s="149" t="str">
        <f t="shared" si="0"/>
        <v>Doprinosi za obvezno zdravstveno osiguranje</v>
      </c>
      <c r="E7" s="201" t="s">
        <v>914</v>
      </c>
      <c r="F7" s="149" t="str">
        <f t="shared" si="2"/>
        <v>NOVI PODPROJEKT</v>
      </c>
      <c r="G7" s="198">
        <v>4500</v>
      </c>
      <c r="H7" s="198"/>
      <c r="I7" s="198"/>
      <c r="J7" s="254" t="s">
        <v>1666</v>
      </c>
      <c r="K7" s="225" t="s">
        <v>1667</v>
      </c>
      <c r="L7" s="225" t="s">
        <v>1668</v>
      </c>
      <c r="M7" s="226" t="s">
        <v>1669</v>
      </c>
      <c r="N7" s="226"/>
      <c r="P7" s="144" t="str">
        <f t="shared" si="3"/>
        <v>313</v>
      </c>
      <c r="Q7" s="144" t="str">
        <f t="shared" si="4"/>
        <v>31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 ht="33.75">
      <c r="A8" s="154">
        <v>51</v>
      </c>
      <c r="B8" s="149" t="str">
        <f t="shared" si="1"/>
        <v>Pomoći EU</v>
      </c>
      <c r="C8" s="154">
        <v>3211</v>
      </c>
      <c r="D8" s="149" t="str">
        <f t="shared" si="0"/>
        <v>Službena putovanja</v>
      </c>
      <c r="E8" s="201" t="s">
        <v>914</v>
      </c>
      <c r="F8" s="149" t="str">
        <f t="shared" si="2"/>
        <v>NOVI PODPROJEKT</v>
      </c>
      <c r="G8" s="198">
        <v>20400</v>
      </c>
      <c r="H8" s="198"/>
      <c r="I8" s="198"/>
      <c r="J8" s="254" t="s">
        <v>1666</v>
      </c>
      <c r="K8" s="225" t="s">
        <v>1667</v>
      </c>
      <c r="L8" s="225" t="s">
        <v>1668</v>
      </c>
      <c r="M8" s="226" t="s">
        <v>1669</v>
      </c>
      <c r="N8" s="226"/>
      <c r="P8" s="144" t="str">
        <f t="shared" si="3"/>
        <v>321</v>
      </c>
      <c r="Q8" s="144" t="str">
        <f t="shared" si="4"/>
        <v>32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 ht="33.75">
      <c r="A9" s="154">
        <v>43</v>
      </c>
      <c r="B9" s="149" t="str">
        <f t="shared" si="1"/>
        <v>Ostali prihodi za posebne namjene</v>
      </c>
      <c r="C9" s="154">
        <v>3211</v>
      </c>
      <c r="D9" s="149" t="str">
        <f t="shared" si="0"/>
        <v>Službena putovanja</v>
      </c>
      <c r="E9" s="201" t="s">
        <v>914</v>
      </c>
      <c r="F9" s="149" t="str">
        <f t="shared" si="2"/>
        <v>NOVI PODPROJEKT</v>
      </c>
      <c r="G9" s="198">
        <v>5100</v>
      </c>
      <c r="H9" s="198"/>
      <c r="I9" s="198"/>
      <c r="J9" s="254" t="s">
        <v>1666</v>
      </c>
      <c r="K9" s="225" t="s">
        <v>1667</v>
      </c>
      <c r="L9" s="225" t="s">
        <v>1668</v>
      </c>
      <c r="M9" s="226" t="s">
        <v>1669</v>
      </c>
      <c r="N9" s="226"/>
      <c r="P9" s="144" t="str">
        <f t="shared" si="3"/>
        <v>321</v>
      </c>
      <c r="Q9" s="144" t="str">
        <f t="shared" si="4"/>
        <v>32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 ht="33.75">
      <c r="A10" s="154">
        <v>51</v>
      </c>
      <c r="B10" s="149" t="str">
        <f t="shared" si="1"/>
        <v>Pomoći EU</v>
      </c>
      <c r="C10" s="154">
        <v>3233</v>
      </c>
      <c r="D10" s="149" t="str">
        <f t="shared" si="0"/>
        <v>Usluge promidžbe i informiranja</v>
      </c>
      <c r="E10" s="201" t="s">
        <v>914</v>
      </c>
      <c r="F10" s="149" t="str">
        <f t="shared" si="2"/>
        <v>NOVI PODPROJEKT</v>
      </c>
      <c r="G10" s="198">
        <v>300</v>
      </c>
      <c r="H10" s="198"/>
      <c r="I10" s="198"/>
      <c r="J10" s="254" t="s">
        <v>1666</v>
      </c>
      <c r="K10" s="225" t="s">
        <v>1667</v>
      </c>
      <c r="L10" s="225" t="s">
        <v>1668</v>
      </c>
      <c r="M10" s="226" t="s">
        <v>1669</v>
      </c>
      <c r="N10" s="226"/>
      <c r="P10" s="144" t="str">
        <f t="shared" si="3"/>
        <v>323</v>
      </c>
      <c r="Q10" s="144" t="str">
        <f t="shared" si="4"/>
        <v>32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 ht="33.75">
      <c r="A11" s="154">
        <v>43</v>
      </c>
      <c r="B11" s="149" t="str">
        <f t="shared" si="1"/>
        <v>Ostali prihodi za posebne namjene</v>
      </c>
      <c r="C11" s="154">
        <v>3233</v>
      </c>
      <c r="D11" s="149" t="str">
        <f t="shared" si="0"/>
        <v>Usluge promidžbe i informiranja</v>
      </c>
      <c r="E11" s="201" t="s">
        <v>914</v>
      </c>
      <c r="F11" s="149" t="str">
        <f t="shared" si="2"/>
        <v>NOVI PODPROJEKT</v>
      </c>
      <c r="G11" s="198">
        <v>100</v>
      </c>
      <c r="H11" s="198"/>
      <c r="I11" s="198"/>
      <c r="J11" s="254" t="s">
        <v>1666</v>
      </c>
      <c r="K11" s="225" t="s">
        <v>1667</v>
      </c>
      <c r="L11" s="225" t="s">
        <v>1668</v>
      </c>
      <c r="M11" s="226" t="s">
        <v>1669</v>
      </c>
      <c r="N11" s="226"/>
      <c r="P11" s="144" t="str">
        <f t="shared" si="3"/>
        <v>323</v>
      </c>
      <c r="Q11" s="144" t="str">
        <f t="shared" si="4"/>
        <v>32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 ht="33.75">
      <c r="A12" s="154">
        <v>51</v>
      </c>
      <c r="B12" s="149" t="str">
        <f t="shared" si="1"/>
        <v>Pomoći EU</v>
      </c>
      <c r="C12" s="154">
        <v>3237</v>
      </c>
      <c r="D12" s="149" t="str">
        <f t="shared" si="0"/>
        <v>Intelektualne i osobne usluge</v>
      </c>
      <c r="E12" s="201" t="s">
        <v>914</v>
      </c>
      <c r="F12" s="149" t="str">
        <f t="shared" si="2"/>
        <v>NOVI PODPROJEKT</v>
      </c>
      <c r="G12" s="198">
        <v>13600</v>
      </c>
      <c r="H12" s="198"/>
      <c r="I12" s="198"/>
      <c r="J12" s="254" t="s">
        <v>1666</v>
      </c>
      <c r="K12" s="225" t="s">
        <v>1667</v>
      </c>
      <c r="L12" s="225" t="s">
        <v>1668</v>
      </c>
      <c r="M12" s="226" t="s">
        <v>1669</v>
      </c>
      <c r="N12" s="226"/>
      <c r="P12" s="144" t="str">
        <f t="shared" si="3"/>
        <v>323</v>
      </c>
      <c r="Q12" s="144" t="str">
        <f t="shared" si="4"/>
        <v>32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 ht="33.75">
      <c r="A13" s="154">
        <v>43</v>
      </c>
      <c r="B13" s="149" t="str">
        <f t="shared" si="1"/>
        <v>Ostali prihodi za posebne namjene</v>
      </c>
      <c r="C13" s="154">
        <v>3237</v>
      </c>
      <c r="D13" s="149" t="str">
        <f t="shared" si="0"/>
        <v>Intelektualne i osobne usluge</v>
      </c>
      <c r="E13" s="201" t="s">
        <v>914</v>
      </c>
      <c r="F13" s="149" t="str">
        <f t="shared" si="2"/>
        <v>NOVI PODPROJEKT</v>
      </c>
      <c r="G13" s="198">
        <v>3400</v>
      </c>
      <c r="H13" s="198"/>
      <c r="I13" s="198"/>
      <c r="J13" s="254" t="s">
        <v>1666</v>
      </c>
      <c r="K13" s="225" t="s">
        <v>1667</v>
      </c>
      <c r="L13" s="225" t="s">
        <v>1668</v>
      </c>
      <c r="M13" s="226" t="s">
        <v>1669</v>
      </c>
      <c r="N13" s="226"/>
      <c r="P13" s="144" t="str">
        <f t="shared" si="3"/>
        <v>323</v>
      </c>
      <c r="Q13" s="144" t="str">
        <f t="shared" si="4"/>
        <v>32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 ht="33.75">
      <c r="A14" s="154">
        <v>51</v>
      </c>
      <c r="B14" s="149" t="str">
        <f t="shared" si="1"/>
        <v>Pomoći EU</v>
      </c>
      <c r="C14" s="154">
        <v>3239</v>
      </c>
      <c r="D14" s="149" t="str">
        <f t="shared" si="0"/>
        <v>Ostale usluge</v>
      </c>
      <c r="E14" s="201" t="s">
        <v>914</v>
      </c>
      <c r="F14" s="149" t="str">
        <f t="shared" si="2"/>
        <v>NOVI PODPROJEKT</v>
      </c>
      <c r="G14" s="198">
        <v>4800</v>
      </c>
      <c r="H14" s="198"/>
      <c r="I14" s="198"/>
      <c r="J14" s="254" t="s">
        <v>1666</v>
      </c>
      <c r="K14" s="225" t="s">
        <v>1667</v>
      </c>
      <c r="L14" s="225" t="s">
        <v>1668</v>
      </c>
      <c r="M14" s="226" t="s">
        <v>1669</v>
      </c>
      <c r="N14" s="226"/>
      <c r="P14" s="144" t="str">
        <f t="shared" si="3"/>
        <v>323</v>
      </c>
      <c r="Q14" s="144" t="str">
        <f t="shared" si="4"/>
        <v>32</v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 ht="33.75">
      <c r="A15" s="154">
        <v>43</v>
      </c>
      <c r="B15" s="149" t="str">
        <f t="shared" si="1"/>
        <v>Ostali prihodi za posebne namjene</v>
      </c>
      <c r="C15" s="154">
        <v>3239</v>
      </c>
      <c r="D15" s="149" t="str">
        <f t="shared" si="0"/>
        <v>Ostale usluge</v>
      </c>
      <c r="E15" s="201" t="s">
        <v>914</v>
      </c>
      <c r="F15" s="149" t="str">
        <f t="shared" si="2"/>
        <v>NOVI PODPROJEKT</v>
      </c>
      <c r="G15" s="198">
        <v>1200</v>
      </c>
      <c r="H15" s="198"/>
      <c r="I15" s="198"/>
      <c r="J15" s="254" t="s">
        <v>1666</v>
      </c>
      <c r="K15" s="225" t="s">
        <v>1667</v>
      </c>
      <c r="L15" s="225" t="s">
        <v>1668</v>
      </c>
      <c r="M15" s="226" t="s">
        <v>1669</v>
      </c>
      <c r="N15" s="226"/>
      <c r="P15" s="144" t="str">
        <f t="shared" si="3"/>
        <v>323</v>
      </c>
      <c r="Q15" s="144" t="str">
        <f t="shared" si="4"/>
        <v>32</v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 ht="33.75">
      <c r="A16" s="154">
        <v>51</v>
      </c>
      <c r="B16" s="149" t="str">
        <f t="shared" si="1"/>
        <v>Pomoći EU</v>
      </c>
      <c r="C16" s="154">
        <v>3241</v>
      </c>
      <c r="D16" s="149" t="str">
        <f t="shared" si="0"/>
        <v>Naknade troškova osobama izvan radnog odnosa</v>
      </c>
      <c r="E16" s="201" t="s">
        <v>914</v>
      </c>
      <c r="F16" s="149" t="str">
        <f t="shared" si="2"/>
        <v>NOVI PODPROJEKT</v>
      </c>
      <c r="G16" s="198">
        <v>4000</v>
      </c>
      <c r="H16" s="198"/>
      <c r="I16" s="198"/>
      <c r="J16" s="254" t="s">
        <v>1666</v>
      </c>
      <c r="K16" s="225" t="s">
        <v>1667</v>
      </c>
      <c r="L16" s="225" t="s">
        <v>1668</v>
      </c>
      <c r="M16" s="226" t="s">
        <v>1669</v>
      </c>
      <c r="N16" s="226"/>
      <c r="P16" s="144" t="str">
        <f t="shared" si="3"/>
        <v>324</v>
      </c>
      <c r="Q16" s="144" t="str">
        <f t="shared" si="4"/>
        <v>32</v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 ht="33.75">
      <c r="A17" s="154">
        <v>43</v>
      </c>
      <c r="B17" s="149" t="str">
        <f t="shared" si="1"/>
        <v>Ostali prihodi za posebne namjene</v>
      </c>
      <c r="C17" s="154">
        <v>3241</v>
      </c>
      <c r="D17" s="149" t="str">
        <f t="shared" si="0"/>
        <v>Naknade troškova osobama izvan radnog odnosa</v>
      </c>
      <c r="E17" s="201" t="s">
        <v>914</v>
      </c>
      <c r="F17" s="149" t="str">
        <f t="shared" si="2"/>
        <v>NOVI PODPROJEKT</v>
      </c>
      <c r="G17" s="198">
        <v>1000</v>
      </c>
      <c r="H17" s="198"/>
      <c r="I17" s="198"/>
      <c r="J17" s="254" t="s">
        <v>1666</v>
      </c>
      <c r="K17" s="225" t="s">
        <v>1667</v>
      </c>
      <c r="L17" s="225" t="s">
        <v>1668</v>
      </c>
      <c r="M17" s="226" t="s">
        <v>1669</v>
      </c>
      <c r="N17" s="226"/>
      <c r="P17" s="144" t="str">
        <f t="shared" si="3"/>
        <v>324</v>
      </c>
      <c r="Q17" s="144" t="str">
        <f t="shared" si="4"/>
        <v>32</v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 ht="33.75">
      <c r="A18" s="154">
        <v>51</v>
      </c>
      <c r="B18" s="149" t="str">
        <f t="shared" si="1"/>
        <v>Pomoći EU</v>
      </c>
      <c r="C18" s="154">
        <v>4221</v>
      </c>
      <c r="D18" s="149" t="str">
        <f t="shared" si="0"/>
        <v>Uredska oprema i namještaj</v>
      </c>
      <c r="E18" s="201" t="s">
        <v>914</v>
      </c>
      <c r="F18" s="149" t="str">
        <f t="shared" si="2"/>
        <v>NOVI PODPROJEKT</v>
      </c>
      <c r="G18" s="198">
        <v>4800</v>
      </c>
      <c r="H18" s="198"/>
      <c r="I18" s="198"/>
      <c r="J18" s="254" t="s">
        <v>1666</v>
      </c>
      <c r="K18" s="225" t="s">
        <v>1667</v>
      </c>
      <c r="L18" s="225" t="s">
        <v>1668</v>
      </c>
      <c r="M18" s="226" t="s">
        <v>1669</v>
      </c>
      <c r="N18" s="226"/>
      <c r="P18" s="144" t="str">
        <f t="shared" si="3"/>
        <v>422</v>
      </c>
      <c r="Q18" s="144" t="str">
        <f t="shared" si="4"/>
        <v>42</v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 ht="33.75">
      <c r="A19" s="154">
        <v>43</v>
      </c>
      <c r="B19" s="149" t="str">
        <f t="shared" si="1"/>
        <v>Ostali prihodi za posebne namjene</v>
      </c>
      <c r="C19" s="154">
        <v>4221</v>
      </c>
      <c r="D19" s="149" t="str">
        <f t="shared" si="0"/>
        <v>Uredska oprema i namještaj</v>
      </c>
      <c r="E19" s="201" t="s">
        <v>914</v>
      </c>
      <c r="F19" s="149" t="str">
        <f t="shared" si="2"/>
        <v>NOVI PODPROJEKT</v>
      </c>
      <c r="G19" s="198">
        <v>1200</v>
      </c>
      <c r="H19" s="198"/>
      <c r="I19" s="198"/>
      <c r="J19" s="254" t="s">
        <v>1666</v>
      </c>
      <c r="K19" s="225" t="s">
        <v>1667</v>
      </c>
      <c r="L19" s="225" t="s">
        <v>1668</v>
      </c>
      <c r="M19" s="226" t="s">
        <v>1669</v>
      </c>
      <c r="N19" s="226"/>
      <c r="P19" s="144" t="str">
        <f t="shared" si="3"/>
        <v>422</v>
      </c>
      <c r="Q19" s="144" t="str">
        <f t="shared" si="4"/>
        <v>42</v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 ht="409.5">
      <c r="A20" s="154">
        <v>51</v>
      </c>
      <c r="B20" s="149" t="str">
        <f t="shared" si="1"/>
        <v>Pomoći EU</v>
      </c>
      <c r="C20" s="154">
        <v>3111</v>
      </c>
      <c r="D20" s="149" t="str">
        <f t="shared" si="0"/>
        <v>Plaće za redovan rad</v>
      </c>
      <c r="E20" s="201" t="s">
        <v>914</v>
      </c>
      <c r="F20" s="149" t="str">
        <f t="shared" si="2"/>
        <v>NOVI PODPROJEKT</v>
      </c>
      <c r="G20" s="198">
        <v>101600</v>
      </c>
      <c r="H20" s="198"/>
      <c r="I20" s="198"/>
      <c r="J20" s="256" t="s">
        <v>1670</v>
      </c>
      <c r="K20" s="225" t="s">
        <v>1671</v>
      </c>
      <c r="L20" s="225" t="s">
        <v>1672</v>
      </c>
      <c r="M20" s="226" t="s">
        <v>1673</v>
      </c>
      <c r="N20" s="260" t="s">
        <v>1688</v>
      </c>
      <c r="P20" s="144" t="str">
        <f t="shared" si="3"/>
        <v>311</v>
      </c>
      <c r="Q20" s="144" t="str">
        <f t="shared" si="4"/>
        <v>31</v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 ht="57">
      <c r="A21" s="154">
        <v>43</v>
      </c>
      <c r="B21" s="149" t="str">
        <f t="shared" si="1"/>
        <v>Ostali prihodi za posebne namjene</v>
      </c>
      <c r="C21" s="154">
        <v>3111</v>
      </c>
      <c r="D21" s="149" t="str">
        <f t="shared" si="0"/>
        <v>Plaće za redovan rad</v>
      </c>
      <c r="E21" s="201" t="s">
        <v>914</v>
      </c>
      <c r="F21" s="149" t="str">
        <f t="shared" si="2"/>
        <v>NOVI PODPROJEKT</v>
      </c>
      <c r="G21" s="198">
        <v>25000</v>
      </c>
      <c r="H21" s="198"/>
      <c r="I21" s="198"/>
      <c r="J21" s="256" t="s">
        <v>1670</v>
      </c>
      <c r="K21" s="225" t="s">
        <v>1671</v>
      </c>
      <c r="L21" s="225" t="s">
        <v>1672</v>
      </c>
      <c r="M21" s="226" t="s">
        <v>1673</v>
      </c>
      <c r="N21" s="226"/>
      <c r="P21" s="144" t="str">
        <f t="shared" si="3"/>
        <v>311</v>
      </c>
      <c r="Q21" s="144" t="str">
        <f t="shared" si="4"/>
        <v>31</v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 ht="57">
      <c r="A22" s="154">
        <v>51</v>
      </c>
      <c r="B22" s="149" t="str">
        <f t="shared" si="1"/>
        <v>Pomoći EU</v>
      </c>
      <c r="C22" s="154">
        <v>3132</v>
      </c>
      <c r="D22" s="149" t="str">
        <f t="shared" si="0"/>
        <v>Doprinosi za obvezno zdravstveno osiguranje</v>
      </c>
      <c r="E22" s="201" t="s">
        <v>914</v>
      </c>
      <c r="F22" s="149" t="str">
        <f t="shared" si="2"/>
        <v>NOVI PODPROJEKT</v>
      </c>
      <c r="G22" s="198">
        <v>16700</v>
      </c>
      <c r="H22" s="198"/>
      <c r="I22" s="198"/>
      <c r="J22" s="256" t="s">
        <v>1670</v>
      </c>
      <c r="K22" s="225" t="s">
        <v>1671</v>
      </c>
      <c r="L22" s="225" t="s">
        <v>1672</v>
      </c>
      <c r="M22" s="226" t="s">
        <v>1673</v>
      </c>
      <c r="N22" s="226"/>
      <c r="P22" s="144" t="str">
        <f t="shared" si="3"/>
        <v>313</v>
      </c>
      <c r="Q22" s="144" t="str">
        <f t="shared" si="4"/>
        <v>31</v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 ht="57">
      <c r="A23" s="154">
        <v>43</v>
      </c>
      <c r="B23" s="149" t="str">
        <f t="shared" si="1"/>
        <v>Ostali prihodi za posebne namjene</v>
      </c>
      <c r="C23" s="154">
        <v>3132</v>
      </c>
      <c r="D23" s="149" t="str">
        <f t="shared" si="0"/>
        <v>Doprinosi za obvezno zdravstveno osiguranje</v>
      </c>
      <c r="E23" s="201" t="s">
        <v>914</v>
      </c>
      <c r="F23" s="149" t="str">
        <f t="shared" si="2"/>
        <v>NOVI PODPROJEKT</v>
      </c>
      <c r="G23" s="198">
        <v>4200</v>
      </c>
      <c r="H23" s="198"/>
      <c r="I23" s="198"/>
      <c r="J23" s="256" t="s">
        <v>1670</v>
      </c>
      <c r="K23" s="225" t="s">
        <v>1671</v>
      </c>
      <c r="L23" s="225" t="s">
        <v>1672</v>
      </c>
      <c r="M23" s="226" t="s">
        <v>1673</v>
      </c>
      <c r="N23" s="226"/>
      <c r="P23" s="144" t="str">
        <f t="shared" si="3"/>
        <v>313</v>
      </c>
      <c r="Q23" s="144" t="str">
        <f t="shared" si="4"/>
        <v>31</v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 ht="57">
      <c r="A24" s="154">
        <v>43</v>
      </c>
      <c r="B24" s="149" t="str">
        <f t="shared" si="1"/>
        <v>Ostali prihodi za posebne namjene</v>
      </c>
      <c r="C24" s="154">
        <v>3211</v>
      </c>
      <c r="D24" s="149" t="str">
        <f t="shared" si="0"/>
        <v>Službena putovanja</v>
      </c>
      <c r="E24" s="201" t="s">
        <v>914</v>
      </c>
      <c r="F24" s="149" t="str">
        <f t="shared" si="2"/>
        <v>NOVI PODPROJEKT</v>
      </c>
      <c r="G24" s="198">
        <v>13000</v>
      </c>
      <c r="H24" s="198"/>
      <c r="I24" s="198"/>
      <c r="J24" s="256" t="s">
        <v>1670</v>
      </c>
      <c r="K24" s="225" t="s">
        <v>1671</v>
      </c>
      <c r="L24" s="225" t="s">
        <v>1672</v>
      </c>
      <c r="M24" s="226" t="s">
        <v>1673</v>
      </c>
      <c r="N24" s="226"/>
      <c r="P24" s="144" t="str">
        <f t="shared" si="3"/>
        <v>321</v>
      </c>
      <c r="Q24" s="144" t="str">
        <f t="shared" si="4"/>
        <v>32</v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 ht="57">
      <c r="A25" s="154">
        <v>43</v>
      </c>
      <c r="B25" s="149" t="str">
        <f t="shared" si="1"/>
        <v>Ostali prihodi za posebne namjene</v>
      </c>
      <c r="C25" s="154">
        <v>3211</v>
      </c>
      <c r="D25" s="149" t="str">
        <f t="shared" si="0"/>
        <v>Službena putovanja</v>
      </c>
      <c r="E25" s="201" t="s">
        <v>914</v>
      </c>
      <c r="F25" s="149" t="str">
        <f t="shared" si="2"/>
        <v>NOVI PODPROJEKT</v>
      </c>
      <c r="G25" s="198">
        <v>2700</v>
      </c>
      <c r="H25" s="198"/>
      <c r="I25" s="198"/>
      <c r="J25" s="256" t="s">
        <v>1670</v>
      </c>
      <c r="K25" s="225" t="s">
        <v>1671</v>
      </c>
      <c r="L25" s="225" t="s">
        <v>1672</v>
      </c>
      <c r="M25" s="226" t="s">
        <v>1673</v>
      </c>
      <c r="N25" s="226"/>
      <c r="P25" s="144" t="str">
        <f t="shared" si="3"/>
        <v>321</v>
      </c>
      <c r="Q25" s="144" t="str">
        <f t="shared" si="4"/>
        <v>32</v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 ht="57">
      <c r="A26" s="154">
        <v>51</v>
      </c>
      <c r="B26" s="149" t="str">
        <f t="shared" si="1"/>
        <v>Pomoći EU</v>
      </c>
      <c r="C26" s="154">
        <v>3233</v>
      </c>
      <c r="D26" s="149" t="str">
        <f t="shared" si="0"/>
        <v>Usluge promidžbe i informiranja</v>
      </c>
      <c r="E26" s="201" t="s">
        <v>914</v>
      </c>
      <c r="F26" s="149" t="str">
        <f t="shared" si="2"/>
        <v>NOVI PODPROJEKT</v>
      </c>
      <c r="G26" s="198">
        <v>14200</v>
      </c>
      <c r="H26" s="198"/>
      <c r="I26" s="198"/>
      <c r="J26" s="256" t="s">
        <v>1670</v>
      </c>
      <c r="K26" s="225" t="s">
        <v>1671</v>
      </c>
      <c r="L26" s="225" t="s">
        <v>1672</v>
      </c>
      <c r="M26" s="226" t="s">
        <v>1673</v>
      </c>
      <c r="N26" s="226"/>
      <c r="P26" s="144" t="str">
        <f t="shared" si="3"/>
        <v>323</v>
      </c>
      <c r="Q26" s="144" t="str">
        <f t="shared" si="4"/>
        <v>32</v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 ht="57">
      <c r="A27" s="154">
        <v>43</v>
      </c>
      <c r="B27" s="149" t="str">
        <f t="shared" si="1"/>
        <v>Ostali prihodi za posebne namjene</v>
      </c>
      <c r="C27" s="154">
        <v>3233</v>
      </c>
      <c r="D27" s="149" t="str">
        <f t="shared" si="0"/>
        <v>Usluge promidžbe i informiranja</v>
      </c>
      <c r="E27" s="201" t="s">
        <v>914</v>
      </c>
      <c r="F27" s="149" t="str">
        <f t="shared" si="2"/>
        <v>NOVI PODPROJEKT</v>
      </c>
      <c r="G27" s="198">
        <v>3500</v>
      </c>
      <c r="H27" s="198"/>
      <c r="I27" s="198"/>
      <c r="J27" s="256" t="s">
        <v>1670</v>
      </c>
      <c r="K27" s="225" t="s">
        <v>1671</v>
      </c>
      <c r="L27" s="225" t="s">
        <v>1672</v>
      </c>
      <c r="M27" s="226" t="s">
        <v>1673</v>
      </c>
      <c r="N27" s="226"/>
      <c r="P27" s="144" t="str">
        <f t="shared" si="3"/>
        <v>323</v>
      </c>
      <c r="Q27" s="144" t="str">
        <f t="shared" si="4"/>
        <v>32</v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 ht="57">
      <c r="A28" s="154">
        <v>51</v>
      </c>
      <c r="B28" s="149" t="str">
        <f t="shared" si="1"/>
        <v>Pomoći EU</v>
      </c>
      <c r="C28" s="154">
        <v>3235</v>
      </c>
      <c r="D28" s="149" t="str">
        <f t="shared" si="0"/>
        <v>Zakupnine i najamnine</v>
      </c>
      <c r="E28" s="201" t="s">
        <v>914</v>
      </c>
      <c r="F28" s="149" t="str">
        <f t="shared" si="2"/>
        <v>NOVI PODPROJEKT</v>
      </c>
      <c r="G28" s="198">
        <v>1500</v>
      </c>
      <c r="H28" s="198"/>
      <c r="I28" s="198"/>
      <c r="J28" s="256" t="s">
        <v>1670</v>
      </c>
      <c r="K28" s="225" t="s">
        <v>1671</v>
      </c>
      <c r="L28" s="225" t="s">
        <v>1672</v>
      </c>
      <c r="M28" s="226" t="s">
        <v>1673</v>
      </c>
      <c r="N28" s="226"/>
      <c r="P28" s="144" t="str">
        <f t="shared" si="3"/>
        <v>323</v>
      </c>
      <c r="Q28" s="144" t="str">
        <f t="shared" si="4"/>
        <v>32</v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 ht="57">
      <c r="A29" s="154">
        <v>43</v>
      </c>
      <c r="B29" s="149" t="str">
        <f t="shared" si="1"/>
        <v>Ostali prihodi za posebne namjene</v>
      </c>
      <c r="C29" s="154">
        <v>3235</v>
      </c>
      <c r="D29" s="149" t="str">
        <f t="shared" si="0"/>
        <v>Zakupnine i najamnine</v>
      </c>
      <c r="E29" s="201" t="s">
        <v>914</v>
      </c>
      <c r="F29" s="149" t="str">
        <f t="shared" si="2"/>
        <v>NOVI PODPROJEKT</v>
      </c>
      <c r="G29" s="198">
        <v>400</v>
      </c>
      <c r="H29" s="198"/>
      <c r="I29" s="198"/>
      <c r="J29" s="256" t="s">
        <v>1670</v>
      </c>
      <c r="K29" s="225" t="s">
        <v>1671</v>
      </c>
      <c r="L29" s="225" t="s">
        <v>1672</v>
      </c>
      <c r="M29" s="226" t="s">
        <v>1673</v>
      </c>
      <c r="N29" s="226"/>
      <c r="P29" s="144" t="str">
        <f t="shared" si="3"/>
        <v>323</v>
      </c>
      <c r="Q29" s="144" t="str">
        <f t="shared" si="4"/>
        <v>32</v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 ht="57">
      <c r="A30" s="154">
        <v>43</v>
      </c>
      <c r="B30" s="149" t="str">
        <f t="shared" si="1"/>
        <v>Ostali prihodi za posebne namjene</v>
      </c>
      <c r="C30" s="154">
        <v>3237</v>
      </c>
      <c r="D30" s="149" t="str">
        <f t="shared" si="0"/>
        <v>Intelektualne i osobne usluge</v>
      </c>
      <c r="E30" s="201" t="s">
        <v>914</v>
      </c>
      <c r="F30" s="149" t="str">
        <f t="shared" si="2"/>
        <v>NOVI PODPROJEKT</v>
      </c>
      <c r="G30" s="198">
        <v>60000</v>
      </c>
      <c r="H30" s="198"/>
      <c r="I30" s="198"/>
      <c r="J30" s="256" t="s">
        <v>1670</v>
      </c>
      <c r="K30" s="225" t="s">
        <v>1671</v>
      </c>
      <c r="L30" s="225" t="s">
        <v>1672</v>
      </c>
      <c r="M30" s="226" t="s">
        <v>1673</v>
      </c>
      <c r="N30" s="226"/>
      <c r="P30" s="144" t="str">
        <f t="shared" si="3"/>
        <v>323</v>
      </c>
      <c r="Q30" s="144" t="str">
        <f t="shared" si="4"/>
        <v>32</v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 ht="57">
      <c r="A31" s="154">
        <v>43</v>
      </c>
      <c r="B31" s="149" t="str">
        <f t="shared" si="1"/>
        <v>Ostali prihodi za posebne namjene</v>
      </c>
      <c r="C31" s="154">
        <v>3237</v>
      </c>
      <c r="D31" s="149" t="str">
        <f t="shared" si="0"/>
        <v>Intelektualne i osobne usluge</v>
      </c>
      <c r="E31" s="201" t="s">
        <v>914</v>
      </c>
      <c r="F31" s="149" t="str">
        <f t="shared" si="2"/>
        <v>NOVI PODPROJEKT</v>
      </c>
      <c r="G31" s="198">
        <v>15000</v>
      </c>
      <c r="H31" s="198"/>
      <c r="I31" s="198"/>
      <c r="J31" s="256" t="s">
        <v>1670</v>
      </c>
      <c r="K31" s="225" t="s">
        <v>1671</v>
      </c>
      <c r="L31" s="225" t="s">
        <v>1672</v>
      </c>
      <c r="M31" s="226" t="s">
        <v>1673</v>
      </c>
      <c r="N31" s="226"/>
      <c r="P31" s="144" t="str">
        <f t="shared" si="3"/>
        <v>323</v>
      </c>
      <c r="Q31" s="144" t="str">
        <f t="shared" si="4"/>
        <v>32</v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 ht="57">
      <c r="A32" s="154">
        <v>51</v>
      </c>
      <c r="B32" s="149" t="str">
        <f t="shared" si="1"/>
        <v>Pomoći EU</v>
      </c>
      <c r="C32" s="154">
        <v>3239</v>
      </c>
      <c r="D32" s="149" t="str">
        <f t="shared" si="0"/>
        <v>Ostale usluge</v>
      </c>
      <c r="E32" s="201" t="s">
        <v>914</v>
      </c>
      <c r="F32" s="149" t="str">
        <f t="shared" si="2"/>
        <v>NOVI PODPROJEKT</v>
      </c>
      <c r="G32" s="198">
        <v>15400</v>
      </c>
      <c r="H32" s="198"/>
      <c r="I32" s="198"/>
      <c r="J32" s="256" t="s">
        <v>1670</v>
      </c>
      <c r="K32" s="225" t="s">
        <v>1671</v>
      </c>
      <c r="L32" s="225" t="s">
        <v>1672</v>
      </c>
      <c r="M32" s="226" t="s">
        <v>1673</v>
      </c>
      <c r="N32" s="226"/>
      <c r="P32" s="144" t="str">
        <f t="shared" si="3"/>
        <v>323</v>
      </c>
      <c r="Q32" s="144" t="str">
        <f t="shared" si="4"/>
        <v>32</v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 ht="57">
      <c r="A33" s="154">
        <v>43</v>
      </c>
      <c r="B33" s="149" t="str">
        <f t="shared" si="1"/>
        <v>Ostali prihodi za posebne namjene</v>
      </c>
      <c r="C33" s="154">
        <v>3239</v>
      </c>
      <c r="D33" s="149" t="str">
        <f t="shared" si="0"/>
        <v>Ostale usluge</v>
      </c>
      <c r="E33" s="201" t="s">
        <v>914</v>
      </c>
      <c r="F33" s="149" t="str">
        <f t="shared" si="2"/>
        <v>NOVI PODPROJEKT</v>
      </c>
      <c r="G33" s="198">
        <v>3800</v>
      </c>
      <c r="H33" s="198"/>
      <c r="I33" s="198"/>
      <c r="J33" s="256" t="s">
        <v>1670</v>
      </c>
      <c r="K33" s="225" t="s">
        <v>1671</v>
      </c>
      <c r="L33" s="225" t="s">
        <v>1672</v>
      </c>
      <c r="M33" s="226" t="s">
        <v>1673</v>
      </c>
      <c r="N33" s="226"/>
      <c r="P33" s="144" t="str">
        <f t="shared" si="3"/>
        <v>323</v>
      </c>
      <c r="Q33" s="144" t="str">
        <f t="shared" si="4"/>
        <v>32</v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 ht="57">
      <c r="A34" s="154">
        <v>51</v>
      </c>
      <c r="B34" s="149" t="str">
        <f t="shared" si="1"/>
        <v>Pomoći EU</v>
      </c>
      <c r="C34" s="154">
        <v>3293</v>
      </c>
      <c r="D34" s="149" t="str">
        <f t="shared" si="0"/>
        <v>Reprezentacija</v>
      </c>
      <c r="E34" s="201" t="s">
        <v>914</v>
      </c>
      <c r="F34" s="149" t="str">
        <f t="shared" si="2"/>
        <v>NOVI PODPROJEKT</v>
      </c>
      <c r="G34" s="198">
        <v>4800</v>
      </c>
      <c r="H34" s="198"/>
      <c r="I34" s="198"/>
      <c r="J34" s="256" t="s">
        <v>1670</v>
      </c>
      <c r="K34" s="225" t="s">
        <v>1671</v>
      </c>
      <c r="L34" s="225" t="s">
        <v>1672</v>
      </c>
      <c r="M34" s="226" t="s">
        <v>1673</v>
      </c>
      <c r="N34" s="226"/>
      <c r="P34" s="144" t="str">
        <f t="shared" si="3"/>
        <v>329</v>
      </c>
      <c r="Q34" s="144" t="str">
        <f t="shared" si="4"/>
        <v>32</v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 ht="57">
      <c r="A35" s="154">
        <v>43</v>
      </c>
      <c r="B35" s="149" t="str">
        <f t="shared" si="1"/>
        <v>Ostali prihodi za posebne namjene</v>
      </c>
      <c r="C35" s="154">
        <v>3293</v>
      </c>
      <c r="D35" s="149" t="str">
        <f t="shared" si="0"/>
        <v>Reprezentacija</v>
      </c>
      <c r="E35" s="201" t="s">
        <v>914</v>
      </c>
      <c r="F35" s="149" t="str">
        <f t="shared" si="2"/>
        <v>NOVI PODPROJEKT</v>
      </c>
      <c r="G35" s="198">
        <v>1200</v>
      </c>
      <c r="H35" s="198"/>
      <c r="I35" s="198"/>
      <c r="J35" s="256" t="s">
        <v>1670</v>
      </c>
      <c r="K35" s="225" t="s">
        <v>1671</v>
      </c>
      <c r="L35" s="225" t="s">
        <v>1672</v>
      </c>
      <c r="M35" s="226" t="s">
        <v>1673</v>
      </c>
      <c r="N35" s="226"/>
      <c r="P35" s="144" t="str">
        <f t="shared" si="3"/>
        <v>329</v>
      </c>
      <c r="Q35" s="144" t="str">
        <f t="shared" si="4"/>
        <v>32</v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 ht="57">
      <c r="A36" s="154">
        <v>51</v>
      </c>
      <c r="B36" s="149" t="str">
        <f t="shared" si="1"/>
        <v>Pomoći EU</v>
      </c>
      <c r="C36" s="154">
        <v>4221</v>
      </c>
      <c r="D36" s="149" t="str">
        <f t="shared" si="0"/>
        <v>Uredska oprema i namještaj</v>
      </c>
      <c r="E36" s="201" t="s">
        <v>914</v>
      </c>
      <c r="F36" s="149" t="str">
        <f t="shared" si="2"/>
        <v>NOVI PODPROJEKT</v>
      </c>
      <c r="G36" s="198">
        <v>6000</v>
      </c>
      <c r="H36" s="198"/>
      <c r="I36" s="198"/>
      <c r="J36" s="256" t="s">
        <v>1670</v>
      </c>
      <c r="K36" s="225" t="s">
        <v>1671</v>
      </c>
      <c r="L36" s="225" t="s">
        <v>1672</v>
      </c>
      <c r="M36" s="226" t="s">
        <v>1673</v>
      </c>
      <c r="N36" s="226"/>
      <c r="P36" s="144" t="str">
        <f t="shared" si="3"/>
        <v>422</v>
      </c>
      <c r="Q36" s="144" t="str">
        <f t="shared" si="4"/>
        <v>42</v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 ht="57">
      <c r="A37" s="154">
        <v>43</v>
      </c>
      <c r="B37" s="149" t="str">
        <f t="shared" si="1"/>
        <v>Ostali prihodi za posebne namjene</v>
      </c>
      <c r="C37" s="154">
        <v>4221</v>
      </c>
      <c r="D37" s="149" t="str">
        <f t="shared" si="0"/>
        <v>Uredska oprema i namještaj</v>
      </c>
      <c r="E37" s="201" t="s">
        <v>914</v>
      </c>
      <c r="F37" s="149" t="str">
        <f t="shared" si="2"/>
        <v>NOVI PODPROJEKT</v>
      </c>
      <c r="G37" s="198">
        <v>1500</v>
      </c>
      <c r="H37" s="198"/>
      <c r="I37" s="198"/>
      <c r="J37" s="256" t="s">
        <v>1670</v>
      </c>
      <c r="K37" s="225" t="s">
        <v>1671</v>
      </c>
      <c r="L37" s="225" t="s">
        <v>1672</v>
      </c>
      <c r="M37" s="226" t="s">
        <v>1673</v>
      </c>
      <c r="N37" s="226"/>
      <c r="P37" s="144" t="str">
        <f t="shared" si="3"/>
        <v>422</v>
      </c>
      <c r="Q37" s="144" t="str">
        <f t="shared" si="4"/>
        <v>42</v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 ht="84">
      <c r="A38" s="154">
        <v>52</v>
      </c>
      <c r="B38" s="149" t="str">
        <f t="shared" si="1"/>
        <v>Ostale pomoći</v>
      </c>
      <c r="C38" s="154">
        <v>3111</v>
      </c>
      <c r="D38" s="149" t="str">
        <f t="shared" si="0"/>
        <v>Plaće za redovan rad</v>
      </c>
      <c r="E38" s="201" t="s">
        <v>914</v>
      </c>
      <c r="F38" s="149" t="str">
        <f t="shared" si="2"/>
        <v>NOVI PODPROJEKT</v>
      </c>
      <c r="G38" s="198">
        <v>14500</v>
      </c>
      <c r="H38" s="198">
        <v>9200</v>
      </c>
      <c r="I38" s="198">
        <v>3800</v>
      </c>
      <c r="J38" s="257" t="s">
        <v>1674</v>
      </c>
      <c r="K38" s="225" t="s">
        <v>1676</v>
      </c>
      <c r="L38" s="225" t="s">
        <v>1677</v>
      </c>
      <c r="M38" s="226" t="s">
        <v>1678</v>
      </c>
      <c r="N38" s="257" t="s">
        <v>1675</v>
      </c>
      <c r="P38" s="144" t="str">
        <f t="shared" si="3"/>
        <v>311</v>
      </c>
      <c r="Q38" s="144" t="str">
        <f t="shared" si="4"/>
        <v>31</v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 ht="84">
      <c r="A39" s="154">
        <v>52</v>
      </c>
      <c r="B39" s="149" t="str">
        <f t="shared" si="1"/>
        <v>Ostale pomoći</v>
      </c>
      <c r="C39" s="154">
        <v>3132</v>
      </c>
      <c r="D39" s="149" t="str">
        <f t="shared" si="0"/>
        <v>Doprinosi za obvezno zdravstveno osiguranje</v>
      </c>
      <c r="E39" s="201" t="s">
        <v>914</v>
      </c>
      <c r="F39" s="149" t="str">
        <f t="shared" si="2"/>
        <v>NOVI PODPROJEKT</v>
      </c>
      <c r="G39" s="198">
        <v>2500</v>
      </c>
      <c r="H39" s="198">
        <v>1500</v>
      </c>
      <c r="I39" s="198">
        <v>700</v>
      </c>
      <c r="J39" s="257" t="s">
        <v>1674</v>
      </c>
      <c r="K39" s="225" t="s">
        <v>1676</v>
      </c>
      <c r="L39" s="225" t="s">
        <v>1677</v>
      </c>
      <c r="M39" s="226" t="s">
        <v>1678</v>
      </c>
      <c r="N39" s="257" t="s">
        <v>1675</v>
      </c>
      <c r="P39" s="144" t="str">
        <f t="shared" si="3"/>
        <v>313</v>
      </c>
      <c r="Q39" s="144" t="str">
        <f t="shared" si="4"/>
        <v>31</v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 ht="84">
      <c r="A40" s="154">
        <v>52</v>
      </c>
      <c r="B40" s="149" t="str">
        <f t="shared" si="1"/>
        <v>Ostale pomoći</v>
      </c>
      <c r="C40" s="154">
        <v>3211</v>
      </c>
      <c r="D40" s="149" t="str">
        <f t="shared" si="0"/>
        <v>Službena putovanja</v>
      </c>
      <c r="E40" s="201" t="s">
        <v>914</v>
      </c>
      <c r="F40" s="149" t="str">
        <f t="shared" si="2"/>
        <v>NOVI PODPROJEKT</v>
      </c>
      <c r="G40" s="198">
        <v>21200</v>
      </c>
      <c r="H40" s="198">
        <v>17500</v>
      </c>
      <c r="I40" s="198">
        <v>14600</v>
      </c>
      <c r="J40" s="257" t="s">
        <v>1674</v>
      </c>
      <c r="K40" s="225" t="s">
        <v>1676</v>
      </c>
      <c r="L40" s="225" t="s">
        <v>1677</v>
      </c>
      <c r="M40" s="226" t="s">
        <v>1678</v>
      </c>
      <c r="N40" s="257" t="s">
        <v>1675</v>
      </c>
      <c r="P40" s="144" t="str">
        <f t="shared" si="3"/>
        <v>321</v>
      </c>
      <c r="Q40" s="144" t="str">
        <f t="shared" si="4"/>
        <v>32</v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 ht="84">
      <c r="A41" s="154">
        <v>52</v>
      </c>
      <c r="B41" s="149" t="str">
        <f t="shared" si="1"/>
        <v>Ostale pomoći</v>
      </c>
      <c r="C41" s="154">
        <v>3293</v>
      </c>
      <c r="D41" s="149" t="str">
        <f t="shared" si="0"/>
        <v>Reprezentacija</v>
      </c>
      <c r="E41" s="201" t="s">
        <v>914</v>
      </c>
      <c r="F41" s="149" t="str">
        <f t="shared" si="2"/>
        <v>NOVI PODPROJEKT</v>
      </c>
      <c r="G41" s="198"/>
      <c r="H41" s="198">
        <v>3300</v>
      </c>
      <c r="I41" s="198"/>
      <c r="J41" s="257" t="s">
        <v>1674</v>
      </c>
      <c r="K41" s="225" t="s">
        <v>1676</v>
      </c>
      <c r="L41" s="225" t="s">
        <v>1677</v>
      </c>
      <c r="M41" s="226" t="s">
        <v>1678</v>
      </c>
      <c r="N41" s="257" t="s">
        <v>1675</v>
      </c>
      <c r="P41" s="144" t="str">
        <f t="shared" si="3"/>
        <v>329</v>
      </c>
      <c r="Q41" s="144" t="str">
        <f t="shared" si="4"/>
        <v>32</v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 ht="36">
      <c r="A42" s="154">
        <v>61</v>
      </c>
      <c r="B42" s="149" t="str">
        <f t="shared" si="1"/>
        <v>Donacije</v>
      </c>
      <c r="C42" s="154">
        <v>3111</v>
      </c>
      <c r="D42" s="149" t="str">
        <f t="shared" si="0"/>
        <v>Plaće za redovan rad</v>
      </c>
      <c r="E42" s="201" t="s">
        <v>914</v>
      </c>
      <c r="F42" s="149" t="str">
        <f t="shared" si="2"/>
        <v>NOVI PODPROJEKT</v>
      </c>
      <c r="G42" s="198">
        <v>108700</v>
      </c>
      <c r="H42" s="198">
        <v>108700</v>
      </c>
      <c r="I42" s="198">
        <v>81700</v>
      </c>
      <c r="J42" s="258" t="s">
        <v>1679</v>
      </c>
      <c r="K42" s="225" t="s">
        <v>1667</v>
      </c>
      <c r="L42" s="225" t="s">
        <v>1680</v>
      </c>
      <c r="M42" s="226" t="s">
        <v>1681</v>
      </c>
      <c r="N42" s="259" t="s">
        <v>1682</v>
      </c>
      <c r="P42" s="144" t="str">
        <f t="shared" si="3"/>
        <v>311</v>
      </c>
      <c r="Q42" s="144" t="str">
        <f t="shared" si="4"/>
        <v>31</v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 ht="36">
      <c r="A43" s="154">
        <v>61</v>
      </c>
      <c r="B43" s="149" t="str">
        <f t="shared" si="1"/>
        <v>Donacije</v>
      </c>
      <c r="C43" s="154">
        <v>3132</v>
      </c>
      <c r="D43" s="149" t="str">
        <f t="shared" si="0"/>
        <v>Doprinosi za obvezno zdravstveno osiguranje</v>
      </c>
      <c r="E43" s="201" t="s">
        <v>914</v>
      </c>
      <c r="F43" s="149" t="str">
        <f t="shared" si="2"/>
        <v>NOVI PODPROJEKT</v>
      </c>
      <c r="G43" s="198">
        <v>18700</v>
      </c>
      <c r="H43" s="198">
        <v>18700</v>
      </c>
      <c r="I43" s="198">
        <v>13300</v>
      </c>
      <c r="J43" s="258" t="s">
        <v>1679</v>
      </c>
      <c r="K43" s="225" t="s">
        <v>1667</v>
      </c>
      <c r="L43" s="225" t="s">
        <v>1680</v>
      </c>
      <c r="M43" s="226" t="s">
        <v>1681</v>
      </c>
      <c r="N43" s="259" t="s">
        <v>1682</v>
      </c>
      <c r="P43" s="144" t="str">
        <f t="shared" si="3"/>
        <v>313</v>
      </c>
      <c r="Q43" s="144" t="str">
        <f t="shared" si="4"/>
        <v>31</v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 ht="36">
      <c r="A44" s="154">
        <v>43</v>
      </c>
      <c r="B44" s="149" t="str">
        <f t="shared" si="1"/>
        <v>Ostali prihodi za posebne namjene</v>
      </c>
      <c r="C44" s="154">
        <v>3212</v>
      </c>
      <c r="D44" s="149" t="str">
        <f t="shared" si="0"/>
        <v>Naknade za prijevoz, za rad na terenu i odvojeni život</v>
      </c>
      <c r="E44" s="201" t="s">
        <v>914</v>
      </c>
      <c r="F44" s="149" t="str">
        <f t="shared" si="2"/>
        <v>NOVI PODPROJEKT</v>
      </c>
      <c r="G44" s="198">
        <v>3100</v>
      </c>
      <c r="H44" s="198">
        <v>3100</v>
      </c>
      <c r="I44" s="198">
        <v>2500</v>
      </c>
      <c r="J44" s="258" t="s">
        <v>1679</v>
      </c>
      <c r="K44" s="225" t="s">
        <v>1667</v>
      </c>
      <c r="L44" s="225" t="s">
        <v>1680</v>
      </c>
      <c r="M44" s="226" t="s">
        <v>1681</v>
      </c>
      <c r="N44" s="259" t="s">
        <v>1682</v>
      </c>
      <c r="P44" s="144" t="str">
        <f t="shared" si="3"/>
        <v>321</v>
      </c>
      <c r="Q44" s="144" t="str">
        <f t="shared" si="4"/>
        <v>32</v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5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5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5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5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5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5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5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5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5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5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5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5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5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5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5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5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5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5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5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5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5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5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5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5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5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5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xWindow="183" yWindow="346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37" zoomScale="154" zoomScaleNormal="154" workbookViewId="0">
      <selection activeCell="A52" sqref="A52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zoomScale="160" zoomScaleNormal="160" workbookViewId="0">
      <selection activeCell="A14" sqref="A14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milicic</cp:lastModifiedBy>
  <cp:lastPrinted>2019-12-13T16:13:13Z</cp:lastPrinted>
  <dcterms:created xsi:type="dcterms:W3CDTF">2018-09-10T07:36:17Z</dcterms:created>
  <dcterms:modified xsi:type="dcterms:W3CDTF">2020-01-14T09:52:37Z</dcterms:modified>
</cp:coreProperties>
</file>