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 Anela\anela\za web\"/>
    </mc:Choice>
  </mc:AlternateContent>
  <bookViews>
    <workbookView xWindow="0" yWindow="0" windowWidth="28800" windowHeight="12300" firstSheet="2" activeTab="5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7" hidden="1">AKT!$A$1:$B$310</definedName>
    <definedName name="_xlnm._FilterDatabase" localSheetId="3" hidden="1">'ANALITIKA EU PROJEKATA'!$A$2:$I$3</definedName>
    <definedName name="_xlnm._FilterDatabase" localSheetId="8" hidden="1">'p4'!$A$1:$B$940</definedName>
    <definedName name="_xlnm._FilterDatabase" localSheetId="1" hidden="1">'Plan prihoda za unos u SAP'!$Q$5:$U$105</definedName>
    <definedName name="_xlnm._FilterDatabase" localSheetId="5" hidden="1">'PLAN RASHODA I IZDATAKA'!$B$70:$W$85</definedName>
    <definedName name="_xlnm._FilterDatabase" localSheetId="2" hidden="1">'Plan rashoda za unos u SAP'!$A$2:$K$3</definedName>
    <definedName name="_xlnm.Print_Area" localSheetId="3">'ANALITIKA EU PROJEKATA'!$A$2:$I$3</definedName>
    <definedName name="_xlnm.Print_Area" localSheetId="0">'Opći dio'!$A$3:$E$32</definedName>
    <definedName name="_xlnm.Print_Area" localSheetId="1">'Plan prihoda za unos u SAP'!$A$2:$I$3</definedName>
    <definedName name="_xlnm.Print_Area" localSheetId="2">'Plan rashoda za unos u SAP'!$A$2:$K$3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F501" i="4" l="1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C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F14" i="4"/>
  <c r="D14" i="4"/>
  <c r="C14" i="4"/>
  <c r="B14" i="4"/>
  <c r="A14" i="4"/>
  <c r="F13" i="4"/>
  <c r="D13" i="4"/>
  <c r="C13" i="4"/>
  <c r="B13" i="4"/>
  <c r="A13" i="4"/>
  <c r="F12" i="4"/>
  <c r="D12" i="4"/>
  <c r="C12" i="4"/>
  <c r="B12" i="4"/>
  <c r="A12" i="4"/>
  <c r="F11" i="4"/>
  <c r="D11" i="4"/>
  <c r="C11" i="4"/>
  <c r="B11" i="4"/>
  <c r="A11" i="4"/>
  <c r="F10" i="4"/>
  <c r="D10" i="4"/>
  <c r="C10" i="4"/>
  <c r="B10" i="4"/>
  <c r="A10" i="4"/>
  <c r="F9" i="4"/>
  <c r="D9" i="4"/>
  <c r="C9" i="4"/>
  <c r="B9" i="4"/>
  <c r="A9" i="4"/>
  <c r="F8" i="4"/>
  <c r="D8" i="4"/>
  <c r="C8" i="4"/>
  <c r="B8" i="4"/>
  <c r="A8" i="4"/>
  <c r="F7" i="4"/>
  <c r="D7" i="4"/>
  <c r="C7" i="4"/>
  <c r="B7" i="4"/>
  <c r="A7" i="4"/>
  <c r="F6" i="4"/>
  <c r="D6" i="4"/>
  <c r="C6" i="4"/>
  <c r="B6" i="4"/>
  <c r="A6" i="4"/>
  <c r="F5" i="4"/>
  <c r="D5" i="4"/>
  <c r="C5" i="4"/>
  <c r="B5" i="4"/>
  <c r="A5" i="4"/>
  <c r="F4" i="4"/>
  <c r="D4" i="4"/>
  <c r="C4" i="4"/>
  <c r="B4" i="4"/>
  <c r="A4" i="4"/>
  <c r="F3" i="4"/>
  <c r="D3" i="4"/>
  <c r="C3" i="4"/>
  <c r="B3" i="4"/>
  <c r="A3" i="4"/>
  <c r="F501" i="25"/>
  <c r="D501" i="25"/>
  <c r="B501" i="25"/>
  <c r="F500" i="25"/>
  <c r="D500" i="25"/>
  <c r="B500" i="25"/>
  <c r="F499" i="25"/>
  <c r="D499" i="25"/>
  <c r="B499" i="25"/>
  <c r="F498" i="25"/>
  <c r="D498" i="25"/>
  <c r="B498" i="25"/>
  <c r="F497" i="25"/>
  <c r="D497" i="25"/>
  <c r="B497" i="25"/>
  <c r="F496" i="25"/>
  <c r="D496" i="25"/>
  <c r="B496" i="25"/>
  <c r="F495" i="25"/>
  <c r="D495" i="25"/>
  <c r="B495" i="25"/>
  <c r="F494" i="25"/>
  <c r="D494" i="25"/>
  <c r="B494" i="25"/>
  <c r="F493" i="25"/>
  <c r="D493" i="25"/>
  <c r="B493" i="25"/>
  <c r="F492" i="25"/>
  <c r="D492" i="25"/>
  <c r="B492" i="25"/>
  <c r="F491" i="25"/>
  <c r="D491" i="25"/>
  <c r="B491" i="25"/>
  <c r="F490" i="25"/>
  <c r="D490" i="25"/>
  <c r="B490" i="25"/>
  <c r="F489" i="25"/>
  <c r="D489" i="25"/>
  <c r="B489" i="25"/>
  <c r="F488" i="25"/>
  <c r="D488" i="25"/>
  <c r="B488" i="25"/>
  <c r="F487" i="25"/>
  <c r="D487" i="25"/>
  <c r="B487" i="25"/>
  <c r="F486" i="25"/>
  <c r="D486" i="25"/>
  <c r="B486" i="25"/>
  <c r="F485" i="25"/>
  <c r="D485" i="25"/>
  <c r="B485" i="25"/>
  <c r="F484" i="25"/>
  <c r="D484" i="25"/>
  <c r="B484" i="25"/>
  <c r="F483" i="25"/>
  <c r="D483" i="25"/>
  <c r="B483" i="25"/>
  <c r="F482" i="25"/>
  <c r="D482" i="25"/>
  <c r="B482" i="25"/>
  <c r="F481" i="25"/>
  <c r="D481" i="25"/>
  <c r="B481" i="25"/>
  <c r="F480" i="25"/>
  <c r="D480" i="25"/>
  <c r="B480" i="25"/>
  <c r="F479" i="25"/>
  <c r="D479" i="25"/>
  <c r="B479" i="25"/>
  <c r="F478" i="25"/>
  <c r="D478" i="25"/>
  <c r="B478" i="25"/>
  <c r="F477" i="25"/>
  <c r="D477" i="25"/>
  <c r="B477" i="25"/>
  <c r="F476" i="25"/>
  <c r="D476" i="25"/>
  <c r="B476" i="25"/>
  <c r="F475" i="25"/>
  <c r="D475" i="25"/>
  <c r="B475" i="25"/>
  <c r="F474" i="25"/>
  <c r="D474" i="25"/>
  <c r="B474" i="25"/>
  <c r="F473" i="25"/>
  <c r="D473" i="25"/>
  <c r="B473" i="25"/>
  <c r="F472" i="25"/>
  <c r="D472" i="25"/>
  <c r="B472" i="25"/>
  <c r="F471" i="25"/>
  <c r="D471" i="25"/>
  <c r="B471" i="25"/>
  <c r="F470" i="25"/>
  <c r="D470" i="25"/>
  <c r="B470" i="25"/>
  <c r="F469" i="25"/>
  <c r="D469" i="25"/>
  <c r="B469" i="25"/>
  <c r="F468" i="25"/>
  <c r="D468" i="25"/>
  <c r="B468" i="25"/>
  <c r="F467" i="25"/>
  <c r="D467" i="25"/>
  <c r="B467" i="25"/>
  <c r="F466" i="25"/>
  <c r="D466" i="25"/>
  <c r="B466" i="25"/>
  <c r="F465" i="25"/>
  <c r="D465" i="25"/>
  <c r="B465" i="25"/>
  <c r="F464" i="25"/>
  <c r="D464" i="25"/>
  <c r="B464" i="25"/>
  <c r="F463" i="25"/>
  <c r="D463" i="25"/>
  <c r="B463" i="25"/>
  <c r="F462" i="25"/>
  <c r="D462" i="25"/>
  <c r="B462" i="25"/>
  <c r="F461" i="25"/>
  <c r="D461" i="25"/>
  <c r="B461" i="25"/>
  <c r="F460" i="25"/>
  <c r="D460" i="25"/>
  <c r="B460" i="25"/>
  <c r="F459" i="25"/>
  <c r="D459" i="25"/>
  <c r="B459" i="25"/>
  <c r="F458" i="25"/>
  <c r="D458" i="25"/>
  <c r="B458" i="25"/>
  <c r="F457" i="25"/>
  <c r="D457" i="25"/>
  <c r="B457" i="25"/>
  <c r="F456" i="25"/>
  <c r="D456" i="25"/>
  <c r="B456" i="25"/>
  <c r="F455" i="25"/>
  <c r="D455" i="25"/>
  <c r="B455" i="25"/>
  <c r="F454" i="25"/>
  <c r="D454" i="25"/>
  <c r="B454" i="25"/>
  <c r="F453" i="25"/>
  <c r="D453" i="25"/>
  <c r="B453" i="25"/>
  <c r="F452" i="25"/>
  <c r="D452" i="25"/>
  <c r="B452" i="25"/>
  <c r="F451" i="25"/>
  <c r="D451" i="25"/>
  <c r="B451" i="25"/>
  <c r="F450" i="25"/>
  <c r="D450" i="25"/>
  <c r="B450" i="25"/>
  <c r="F449" i="25"/>
  <c r="D449" i="25"/>
  <c r="B449" i="25"/>
  <c r="F448" i="25"/>
  <c r="D448" i="25"/>
  <c r="B448" i="25"/>
  <c r="F447" i="25"/>
  <c r="D447" i="25"/>
  <c r="B447" i="25"/>
  <c r="F446" i="25"/>
  <c r="D446" i="25"/>
  <c r="B446" i="25"/>
  <c r="F445" i="25"/>
  <c r="D445" i="25"/>
  <c r="B445" i="25"/>
  <c r="F444" i="25"/>
  <c r="D444" i="25"/>
  <c r="B444" i="25"/>
  <c r="F443" i="25"/>
  <c r="D443" i="25"/>
  <c r="B443" i="25"/>
  <c r="F442" i="25"/>
  <c r="D442" i="25"/>
  <c r="B442" i="25"/>
  <c r="F441" i="25"/>
  <c r="D441" i="25"/>
  <c r="B441" i="25"/>
  <c r="F440" i="25"/>
  <c r="D440" i="25"/>
  <c r="B440" i="25"/>
  <c r="F439" i="25"/>
  <c r="D439" i="25"/>
  <c r="B439" i="25"/>
  <c r="F438" i="25"/>
  <c r="D438" i="25"/>
  <c r="B438" i="25"/>
  <c r="F437" i="25"/>
  <c r="D437" i="25"/>
  <c r="B437" i="25"/>
  <c r="F436" i="25"/>
  <c r="D436" i="25"/>
  <c r="B436" i="25"/>
  <c r="F435" i="25"/>
  <c r="D435" i="25"/>
  <c r="B435" i="25"/>
  <c r="F434" i="25"/>
  <c r="D434" i="25"/>
  <c r="B434" i="25"/>
  <c r="F433" i="25"/>
  <c r="D433" i="25"/>
  <c r="B433" i="25"/>
  <c r="F432" i="25"/>
  <c r="D432" i="25"/>
  <c r="B432" i="25"/>
  <c r="F431" i="25"/>
  <c r="D431" i="25"/>
  <c r="B431" i="25"/>
  <c r="F430" i="25"/>
  <c r="D430" i="25"/>
  <c r="B430" i="25"/>
  <c r="F429" i="25"/>
  <c r="D429" i="25"/>
  <c r="B429" i="25"/>
  <c r="F428" i="25"/>
  <c r="D428" i="25"/>
  <c r="B428" i="25"/>
  <c r="F427" i="25"/>
  <c r="D427" i="25"/>
  <c r="B427" i="25"/>
  <c r="F426" i="25"/>
  <c r="D426" i="25"/>
  <c r="B426" i="25"/>
  <c r="F425" i="25"/>
  <c r="D425" i="25"/>
  <c r="B425" i="25"/>
  <c r="F424" i="25"/>
  <c r="D424" i="25"/>
  <c r="B424" i="25"/>
  <c r="F423" i="25"/>
  <c r="D423" i="25"/>
  <c r="B423" i="25"/>
  <c r="F422" i="25"/>
  <c r="D422" i="25"/>
  <c r="B422" i="25"/>
  <c r="F421" i="25"/>
  <c r="D421" i="25"/>
  <c r="B421" i="25"/>
  <c r="F420" i="25"/>
  <c r="D420" i="25"/>
  <c r="B420" i="25"/>
  <c r="F419" i="25"/>
  <c r="D419" i="25"/>
  <c r="B419" i="25"/>
  <c r="F418" i="25"/>
  <c r="D418" i="25"/>
  <c r="B418" i="25"/>
  <c r="F417" i="25"/>
  <c r="D417" i="25"/>
  <c r="B417" i="25"/>
  <c r="F416" i="25"/>
  <c r="D416" i="25"/>
  <c r="B416" i="25"/>
  <c r="F415" i="25"/>
  <c r="D415" i="25"/>
  <c r="B415" i="25"/>
  <c r="F414" i="25"/>
  <c r="D414" i="25"/>
  <c r="B414" i="25"/>
  <c r="F413" i="25"/>
  <c r="D413" i="25"/>
  <c r="B413" i="25"/>
  <c r="F412" i="25"/>
  <c r="D412" i="25"/>
  <c r="B412" i="25"/>
  <c r="F411" i="25"/>
  <c r="D411" i="25"/>
  <c r="B411" i="25"/>
  <c r="F410" i="25"/>
  <c r="D410" i="25"/>
  <c r="B410" i="25"/>
  <c r="F409" i="25"/>
  <c r="D409" i="25"/>
  <c r="B409" i="25"/>
  <c r="F408" i="25"/>
  <c r="D408" i="25"/>
  <c r="B408" i="25"/>
  <c r="F407" i="25"/>
  <c r="D407" i="25"/>
  <c r="B407" i="25"/>
  <c r="F406" i="25"/>
  <c r="D406" i="25"/>
  <c r="B406" i="25"/>
  <c r="F405" i="25"/>
  <c r="D405" i="25"/>
  <c r="B405" i="25"/>
  <c r="F404" i="25"/>
  <c r="D404" i="25"/>
  <c r="B404" i="25"/>
  <c r="F403" i="25"/>
  <c r="D403" i="25"/>
  <c r="B403" i="25"/>
  <c r="F402" i="25"/>
  <c r="D402" i="25"/>
  <c r="B402" i="25"/>
  <c r="F401" i="25"/>
  <c r="D401" i="25"/>
  <c r="B401" i="25"/>
  <c r="F400" i="25"/>
  <c r="D400" i="25"/>
  <c r="B400" i="25"/>
  <c r="F399" i="25"/>
  <c r="D399" i="25"/>
  <c r="B399" i="25"/>
  <c r="F398" i="25"/>
  <c r="D398" i="25"/>
  <c r="B398" i="25"/>
  <c r="F397" i="25"/>
  <c r="D397" i="25"/>
  <c r="B397" i="25"/>
  <c r="F396" i="25"/>
  <c r="D396" i="25"/>
  <c r="B396" i="25"/>
  <c r="F395" i="25"/>
  <c r="D395" i="25"/>
  <c r="B395" i="25"/>
  <c r="F394" i="25"/>
  <c r="D394" i="25"/>
  <c r="B394" i="25"/>
  <c r="F393" i="25"/>
  <c r="D393" i="25"/>
  <c r="B393" i="25"/>
  <c r="F392" i="25"/>
  <c r="D392" i="25"/>
  <c r="B392" i="25"/>
  <c r="F391" i="25"/>
  <c r="D391" i="25"/>
  <c r="B391" i="25"/>
  <c r="F390" i="25"/>
  <c r="D390" i="25"/>
  <c r="B390" i="25"/>
  <c r="F389" i="25"/>
  <c r="D389" i="25"/>
  <c r="B389" i="25"/>
  <c r="F388" i="25"/>
  <c r="D388" i="25"/>
  <c r="B388" i="25"/>
  <c r="F387" i="25"/>
  <c r="D387" i="25"/>
  <c r="B387" i="25"/>
  <c r="F386" i="25"/>
  <c r="D386" i="25"/>
  <c r="B386" i="25"/>
  <c r="F385" i="25"/>
  <c r="D385" i="25"/>
  <c r="B385" i="25"/>
  <c r="F384" i="25"/>
  <c r="D384" i="25"/>
  <c r="B384" i="25"/>
  <c r="F383" i="25"/>
  <c r="D383" i="25"/>
  <c r="B383" i="25"/>
  <c r="F382" i="25"/>
  <c r="D382" i="25"/>
  <c r="B382" i="25"/>
  <c r="F381" i="25"/>
  <c r="D381" i="25"/>
  <c r="B381" i="25"/>
  <c r="F380" i="25"/>
  <c r="D380" i="25"/>
  <c r="B380" i="25"/>
  <c r="F379" i="25"/>
  <c r="D379" i="25"/>
  <c r="B379" i="25"/>
  <c r="F378" i="25"/>
  <c r="D378" i="25"/>
  <c r="B378" i="25"/>
  <c r="F377" i="25"/>
  <c r="D377" i="25"/>
  <c r="B377" i="25"/>
  <c r="F376" i="25"/>
  <c r="D376" i="25"/>
  <c r="B376" i="25"/>
  <c r="F375" i="25"/>
  <c r="D375" i="25"/>
  <c r="B375" i="25"/>
  <c r="F374" i="25"/>
  <c r="D374" i="25"/>
  <c r="B374" i="25"/>
  <c r="F373" i="25"/>
  <c r="D373" i="25"/>
  <c r="B373" i="25"/>
  <c r="F372" i="25"/>
  <c r="D372" i="25"/>
  <c r="B372" i="25"/>
  <c r="F371" i="25"/>
  <c r="D371" i="25"/>
  <c r="B371" i="25"/>
  <c r="F370" i="25"/>
  <c r="D370" i="25"/>
  <c r="B370" i="25"/>
  <c r="F369" i="25"/>
  <c r="D369" i="25"/>
  <c r="B369" i="25"/>
  <c r="F368" i="25"/>
  <c r="D368" i="25"/>
  <c r="B368" i="25"/>
  <c r="F367" i="25"/>
  <c r="D367" i="25"/>
  <c r="B367" i="25"/>
  <c r="F366" i="25"/>
  <c r="D366" i="25"/>
  <c r="B366" i="25"/>
  <c r="F365" i="25"/>
  <c r="D365" i="25"/>
  <c r="B365" i="25"/>
  <c r="F364" i="25"/>
  <c r="D364" i="25"/>
  <c r="B364" i="25"/>
  <c r="F363" i="25"/>
  <c r="D363" i="25"/>
  <c r="B363" i="25"/>
  <c r="F362" i="25"/>
  <c r="D362" i="25"/>
  <c r="B362" i="25"/>
  <c r="F361" i="25"/>
  <c r="D361" i="25"/>
  <c r="B361" i="25"/>
  <c r="F360" i="25"/>
  <c r="D360" i="25"/>
  <c r="B360" i="25"/>
  <c r="F359" i="25"/>
  <c r="D359" i="25"/>
  <c r="B359" i="25"/>
  <c r="F358" i="25"/>
  <c r="D358" i="25"/>
  <c r="B358" i="25"/>
  <c r="F357" i="25"/>
  <c r="D357" i="25"/>
  <c r="B357" i="25"/>
  <c r="F356" i="25"/>
  <c r="D356" i="25"/>
  <c r="B356" i="25"/>
  <c r="F355" i="25"/>
  <c r="D355" i="25"/>
  <c r="B355" i="25"/>
  <c r="F354" i="25"/>
  <c r="D354" i="25"/>
  <c r="B354" i="25"/>
  <c r="F353" i="25"/>
  <c r="D353" i="25"/>
  <c r="B353" i="25"/>
  <c r="F352" i="25"/>
  <c r="D352" i="25"/>
  <c r="B352" i="25"/>
  <c r="F351" i="25"/>
  <c r="D351" i="25"/>
  <c r="B351" i="25"/>
  <c r="F350" i="25"/>
  <c r="D350" i="25"/>
  <c r="B350" i="25"/>
  <c r="F349" i="25"/>
  <c r="D349" i="25"/>
  <c r="B349" i="25"/>
  <c r="F348" i="25"/>
  <c r="D348" i="25"/>
  <c r="B348" i="25"/>
  <c r="F347" i="25"/>
  <c r="D347" i="25"/>
  <c r="B347" i="25"/>
  <c r="F346" i="25"/>
  <c r="D346" i="25"/>
  <c r="B346" i="25"/>
  <c r="F345" i="25"/>
  <c r="D345" i="25"/>
  <c r="B345" i="25"/>
  <c r="F344" i="25"/>
  <c r="D344" i="25"/>
  <c r="B344" i="25"/>
  <c r="F343" i="25"/>
  <c r="D343" i="25"/>
  <c r="B343" i="25"/>
  <c r="F342" i="25"/>
  <c r="D342" i="25"/>
  <c r="B342" i="25"/>
  <c r="F341" i="25"/>
  <c r="D341" i="25"/>
  <c r="B341" i="25"/>
  <c r="F340" i="25"/>
  <c r="D340" i="25"/>
  <c r="B340" i="25"/>
  <c r="F339" i="25"/>
  <c r="D339" i="25"/>
  <c r="B339" i="25"/>
  <c r="F338" i="25"/>
  <c r="D338" i="25"/>
  <c r="B338" i="25"/>
  <c r="F337" i="25"/>
  <c r="D337" i="25"/>
  <c r="B337" i="25"/>
  <c r="F336" i="25"/>
  <c r="D336" i="25"/>
  <c r="B336" i="25"/>
  <c r="F335" i="25"/>
  <c r="D335" i="25"/>
  <c r="B335" i="25"/>
  <c r="F334" i="25"/>
  <c r="D334" i="25"/>
  <c r="B334" i="25"/>
  <c r="F333" i="25"/>
  <c r="D333" i="25"/>
  <c r="B333" i="25"/>
  <c r="F332" i="25"/>
  <c r="D332" i="25"/>
  <c r="B332" i="25"/>
  <c r="F331" i="25"/>
  <c r="D331" i="25"/>
  <c r="B331" i="25"/>
  <c r="F330" i="25"/>
  <c r="D330" i="25"/>
  <c r="B330" i="25"/>
  <c r="F329" i="25"/>
  <c r="D329" i="25"/>
  <c r="B329" i="25"/>
  <c r="F328" i="25"/>
  <c r="D328" i="25"/>
  <c r="B328" i="25"/>
  <c r="F327" i="25"/>
  <c r="D327" i="25"/>
  <c r="B327" i="25"/>
  <c r="F326" i="25"/>
  <c r="D326" i="25"/>
  <c r="B326" i="25"/>
  <c r="F325" i="25"/>
  <c r="D325" i="25"/>
  <c r="B325" i="25"/>
  <c r="F324" i="25"/>
  <c r="D324" i="25"/>
  <c r="B324" i="25"/>
  <c r="F323" i="25"/>
  <c r="D323" i="25"/>
  <c r="B323" i="25"/>
  <c r="F322" i="25"/>
  <c r="D322" i="25"/>
  <c r="B322" i="25"/>
  <c r="F321" i="25"/>
  <c r="D321" i="25"/>
  <c r="B321" i="25"/>
  <c r="F320" i="25"/>
  <c r="D320" i="25"/>
  <c r="B320" i="25"/>
  <c r="F319" i="25"/>
  <c r="D319" i="25"/>
  <c r="B319" i="25"/>
  <c r="F318" i="25"/>
  <c r="D318" i="25"/>
  <c r="B318" i="25"/>
  <c r="F317" i="25"/>
  <c r="D317" i="25"/>
  <c r="B317" i="25"/>
  <c r="F316" i="25"/>
  <c r="D316" i="25"/>
  <c r="B316" i="25"/>
  <c r="F315" i="25"/>
  <c r="D315" i="25"/>
  <c r="B315" i="25"/>
  <c r="F314" i="25"/>
  <c r="D314" i="25"/>
  <c r="B314" i="25"/>
  <c r="F313" i="25"/>
  <c r="D313" i="25"/>
  <c r="B313" i="25"/>
  <c r="F312" i="25"/>
  <c r="D312" i="25"/>
  <c r="B312" i="25"/>
  <c r="F311" i="25"/>
  <c r="D311" i="25"/>
  <c r="B311" i="25"/>
  <c r="F310" i="25"/>
  <c r="D310" i="25"/>
  <c r="B310" i="25"/>
  <c r="F309" i="25"/>
  <c r="D309" i="25"/>
  <c r="B309" i="25"/>
  <c r="F308" i="25"/>
  <c r="D308" i="25"/>
  <c r="B308" i="25"/>
  <c r="F307" i="25"/>
  <c r="D307" i="25"/>
  <c r="B307" i="25"/>
  <c r="F306" i="25"/>
  <c r="D306" i="25"/>
  <c r="B306" i="25"/>
  <c r="F305" i="25"/>
  <c r="D305" i="25"/>
  <c r="B305" i="25"/>
  <c r="F304" i="25"/>
  <c r="D304" i="25"/>
  <c r="B304" i="25"/>
  <c r="F303" i="25"/>
  <c r="D303" i="25"/>
  <c r="B303" i="25"/>
  <c r="F302" i="25"/>
  <c r="D302" i="25"/>
  <c r="B302" i="25"/>
  <c r="F301" i="25"/>
  <c r="D301" i="25"/>
  <c r="B301" i="25"/>
  <c r="F300" i="25"/>
  <c r="D300" i="25"/>
  <c r="B300" i="25"/>
  <c r="F299" i="25"/>
  <c r="D299" i="25"/>
  <c r="B299" i="25"/>
  <c r="F298" i="25"/>
  <c r="D298" i="25"/>
  <c r="B298" i="25"/>
  <c r="F297" i="25"/>
  <c r="D297" i="25"/>
  <c r="B297" i="25"/>
  <c r="F296" i="25"/>
  <c r="D296" i="25"/>
  <c r="B296" i="25"/>
  <c r="F295" i="25"/>
  <c r="D295" i="25"/>
  <c r="B295" i="25"/>
  <c r="F294" i="25"/>
  <c r="D294" i="25"/>
  <c r="B294" i="25"/>
  <c r="F293" i="25"/>
  <c r="D293" i="25"/>
  <c r="B293" i="25"/>
  <c r="F292" i="25"/>
  <c r="D292" i="25"/>
  <c r="B292" i="25"/>
  <c r="F291" i="25"/>
  <c r="D291" i="25"/>
  <c r="B291" i="25"/>
  <c r="F290" i="25"/>
  <c r="D290" i="25"/>
  <c r="B290" i="25"/>
  <c r="F289" i="25"/>
  <c r="D289" i="25"/>
  <c r="B289" i="25"/>
  <c r="F288" i="25"/>
  <c r="D288" i="25"/>
  <c r="B288" i="25"/>
  <c r="F287" i="25"/>
  <c r="D287" i="25"/>
  <c r="B287" i="25"/>
  <c r="F286" i="25"/>
  <c r="D286" i="25"/>
  <c r="B286" i="25"/>
  <c r="F285" i="25"/>
  <c r="D285" i="25"/>
  <c r="B285" i="25"/>
  <c r="F284" i="25"/>
  <c r="D284" i="25"/>
  <c r="B284" i="25"/>
  <c r="F283" i="25"/>
  <c r="D283" i="25"/>
  <c r="B283" i="25"/>
  <c r="F282" i="25"/>
  <c r="D282" i="25"/>
  <c r="B282" i="25"/>
  <c r="F281" i="25"/>
  <c r="D281" i="25"/>
  <c r="B281" i="25"/>
  <c r="F280" i="25"/>
  <c r="D280" i="25"/>
  <c r="B280" i="25"/>
  <c r="F279" i="25"/>
  <c r="D279" i="25"/>
  <c r="B279" i="25"/>
  <c r="F278" i="25"/>
  <c r="D278" i="25"/>
  <c r="B278" i="25"/>
  <c r="F277" i="25"/>
  <c r="D277" i="25"/>
  <c r="B277" i="25"/>
  <c r="F276" i="25"/>
  <c r="D276" i="25"/>
  <c r="B276" i="25"/>
  <c r="F275" i="25"/>
  <c r="D275" i="25"/>
  <c r="B275" i="25"/>
  <c r="F274" i="25"/>
  <c r="D274" i="25"/>
  <c r="B274" i="25"/>
  <c r="F273" i="25"/>
  <c r="D273" i="25"/>
  <c r="B273" i="25"/>
  <c r="F272" i="25"/>
  <c r="D272" i="25"/>
  <c r="B272" i="25"/>
  <c r="F271" i="25"/>
  <c r="D271" i="25"/>
  <c r="B271" i="25"/>
  <c r="F270" i="25"/>
  <c r="D270" i="25"/>
  <c r="B270" i="25"/>
  <c r="F269" i="25"/>
  <c r="D269" i="25"/>
  <c r="B269" i="25"/>
  <c r="F268" i="25"/>
  <c r="D268" i="25"/>
  <c r="B268" i="25"/>
  <c r="F267" i="25"/>
  <c r="D267" i="25"/>
  <c r="B267" i="25"/>
  <c r="F266" i="25"/>
  <c r="D266" i="25"/>
  <c r="B266" i="25"/>
  <c r="F265" i="25"/>
  <c r="D265" i="25"/>
  <c r="B265" i="25"/>
  <c r="F264" i="25"/>
  <c r="D264" i="25"/>
  <c r="B264" i="25"/>
  <c r="F263" i="25"/>
  <c r="D263" i="25"/>
  <c r="B263" i="25"/>
  <c r="F262" i="25"/>
  <c r="D262" i="25"/>
  <c r="B262" i="25"/>
  <c r="F261" i="25"/>
  <c r="D261" i="25"/>
  <c r="B261" i="25"/>
  <c r="F260" i="25"/>
  <c r="D260" i="25"/>
  <c r="B260" i="25"/>
  <c r="F259" i="25"/>
  <c r="D259" i="25"/>
  <c r="B259" i="25"/>
  <c r="F258" i="25"/>
  <c r="D258" i="25"/>
  <c r="B258" i="25"/>
  <c r="F257" i="25"/>
  <c r="D257" i="25"/>
  <c r="B257" i="25"/>
  <c r="F256" i="25"/>
  <c r="D256" i="25"/>
  <c r="B256" i="25"/>
  <c r="F255" i="25"/>
  <c r="D255" i="25"/>
  <c r="B255" i="25"/>
  <c r="F254" i="25"/>
  <c r="D254" i="25"/>
  <c r="B254" i="25"/>
  <c r="F253" i="25"/>
  <c r="D253" i="25"/>
  <c r="B253" i="25"/>
  <c r="F252" i="25"/>
  <c r="D252" i="25"/>
  <c r="B252" i="25"/>
  <c r="F251" i="25"/>
  <c r="D251" i="25"/>
  <c r="B251" i="25"/>
  <c r="F250" i="25"/>
  <c r="D250" i="25"/>
  <c r="B250" i="25"/>
  <c r="F249" i="25"/>
  <c r="D249" i="25"/>
  <c r="B249" i="25"/>
  <c r="F248" i="25"/>
  <c r="D248" i="25"/>
  <c r="B248" i="25"/>
  <c r="F247" i="25"/>
  <c r="D247" i="25"/>
  <c r="B247" i="25"/>
  <c r="F246" i="25"/>
  <c r="D246" i="25"/>
  <c r="B246" i="25"/>
  <c r="F245" i="25"/>
  <c r="D245" i="25"/>
  <c r="B245" i="25"/>
  <c r="F244" i="25"/>
  <c r="D244" i="25"/>
  <c r="B244" i="25"/>
  <c r="F243" i="25"/>
  <c r="D243" i="25"/>
  <c r="B243" i="25"/>
  <c r="F242" i="25"/>
  <c r="D242" i="25"/>
  <c r="B242" i="25"/>
  <c r="F241" i="25"/>
  <c r="D241" i="25"/>
  <c r="B241" i="25"/>
  <c r="F240" i="25"/>
  <c r="D240" i="25"/>
  <c r="B240" i="25"/>
  <c r="F239" i="25"/>
  <c r="D239" i="25"/>
  <c r="B239" i="25"/>
  <c r="F238" i="25"/>
  <c r="D238" i="25"/>
  <c r="B238" i="25"/>
  <c r="F237" i="25"/>
  <c r="D237" i="25"/>
  <c r="B237" i="25"/>
  <c r="F236" i="25"/>
  <c r="D236" i="25"/>
  <c r="B236" i="25"/>
  <c r="F235" i="25"/>
  <c r="D235" i="25"/>
  <c r="B235" i="25"/>
  <c r="F234" i="25"/>
  <c r="D234" i="25"/>
  <c r="B234" i="25"/>
  <c r="F233" i="25"/>
  <c r="D233" i="25"/>
  <c r="B233" i="25"/>
  <c r="F232" i="25"/>
  <c r="D232" i="25"/>
  <c r="B232" i="25"/>
  <c r="F231" i="25"/>
  <c r="D231" i="25"/>
  <c r="B231" i="25"/>
  <c r="F230" i="25"/>
  <c r="D230" i="25"/>
  <c r="B230" i="25"/>
  <c r="F229" i="25"/>
  <c r="D229" i="25"/>
  <c r="B229" i="25"/>
  <c r="F228" i="25"/>
  <c r="D228" i="25"/>
  <c r="B228" i="25"/>
  <c r="F227" i="25"/>
  <c r="D227" i="25"/>
  <c r="B227" i="25"/>
  <c r="F226" i="25"/>
  <c r="D226" i="25"/>
  <c r="B226" i="25"/>
  <c r="F225" i="25"/>
  <c r="D225" i="25"/>
  <c r="B225" i="25"/>
  <c r="F224" i="25"/>
  <c r="D224" i="25"/>
  <c r="B224" i="25"/>
  <c r="F223" i="25"/>
  <c r="D223" i="25"/>
  <c r="B223" i="25"/>
  <c r="F222" i="25"/>
  <c r="D222" i="25"/>
  <c r="B222" i="25"/>
  <c r="F221" i="25"/>
  <c r="D221" i="25"/>
  <c r="B221" i="25"/>
  <c r="F220" i="25"/>
  <c r="D220" i="25"/>
  <c r="B220" i="25"/>
  <c r="F219" i="25"/>
  <c r="D219" i="25"/>
  <c r="B219" i="25"/>
  <c r="F218" i="25"/>
  <c r="D218" i="25"/>
  <c r="B218" i="25"/>
  <c r="F217" i="25"/>
  <c r="D217" i="25"/>
  <c r="B217" i="25"/>
  <c r="F216" i="25"/>
  <c r="D216" i="25"/>
  <c r="B216" i="25"/>
  <c r="F215" i="25"/>
  <c r="D215" i="25"/>
  <c r="B215" i="25"/>
  <c r="F214" i="25"/>
  <c r="D214" i="25"/>
  <c r="B214" i="25"/>
  <c r="F213" i="25"/>
  <c r="D213" i="25"/>
  <c r="B213" i="25"/>
  <c r="F212" i="25"/>
  <c r="D212" i="25"/>
  <c r="B212" i="25"/>
  <c r="F211" i="25"/>
  <c r="D211" i="25"/>
  <c r="B211" i="25"/>
  <c r="F210" i="25"/>
  <c r="D210" i="25"/>
  <c r="B210" i="25"/>
  <c r="F209" i="25"/>
  <c r="D209" i="25"/>
  <c r="B209" i="25"/>
  <c r="F208" i="25"/>
  <c r="D208" i="25"/>
  <c r="B208" i="25"/>
  <c r="F207" i="25"/>
  <c r="D207" i="25"/>
  <c r="B207" i="25"/>
  <c r="F206" i="25"/>
  <c r="D206" i="25"/>
  <c r="B206" i="25"/>
  <c r="F205" i="25"/>
  <c r="D205" i="25"/>
  <c r="B205" i="25"/>
  <c r="F204" i="25"/>
  <c r="D204" i="25"/>
  <c r="B204" i="25"/>
  <c r="F203" i="25"/>
  <c r="D203" i="25"/>
  <c r="B203" i="25"/>
  <c r="F202" i="25"/>
  <c r="D202" i="25"/>
  <c r="B202" i="25"/>
  <c r="F201" i="25"/>
  <c r="D201" i="25"/>
  <c r="B201" i="25"/>
  <c r="F200" i="25"/>
  <c r="D200" i="25"/>
  <c r="B200" i="25"/>
  <c r="F199" i="25"/>
  <c r="D199" i="25"/>
  <c r="B199" i="25"/>
  <c r="F198" i="25"/>
  <c r="D198" i="25"/>
  <c r="B198" i="25"/>
  <c r="F197" i="25"/>
  <c r="D197" i="25"/>
  <c r="B197" i="25"/>
  <c r="F196" i="25"/>
  <c r="D196" i="25"/>
  <c r="B196" i="25"/>
  <c r="F195" i="25"/>
  <c r="D195" i="25"/>
  <c r="B195" i="25"/>
  <c r="F194" i="25"/>
  <c r="D194" i="25"/>
  <c r="B194" i="25"/>
  <c r="F193" i="25"/>
  <c r="D193" i="25"/>
  <c r="B193" i="25"/>
  <c r="F192" i="25"/>
  <c r="D192" i="25"/>
  <c r="B192" i="25"/>
  <c r="F191" i="25"/>
  <c r="D191" i="25"/>
  <c r="B191" i="25"/>
  <c r="F190" i="25"/>
  <c r="D190" i="25"/>
  <c r="B190" i="25"/>
  <c r="F189" i="25"/>
  <c r="D189" i="25"/>
  <c r="B189" i="25"/>
  <c r="F188" i="25"/>
  <c r="D188" i="25"/>
  <c r="B188" i="25"/>
  <c r="F187" i="25"/>
  <c r="D187" i="25"/>
  <c r="B187" i="25"/>
  <c r="F186" i="25"/>
  <c r="D186" i="25"/>
  <c r="B186" i="25"/>
  <c r="F185" i="25"/>
  <c r="D185" i="25"/>
  <c r="B185" i="25"/>
  <c r="F184" i="25"/>
  <c r="D184" i="25"/>
  <c r="B184" i="25"/>
  <c r="F183" i="25"/>
  <c r="D183" i="25"/>
  <c r="B183" i="25"/>
  <c r="F182" i="25"/>
  <c r="D182" i="25"/>
  <c r="B182" i="25"/>
  <c r="F181" i="25"/>
  <c r="D181" i="25"/>
  <c r="B181" i="25"/>
  <c r="F180" i="25"/>
  <c r="D180" i="25"/>
  <c r="B180" i="25"/>
  <c r="F179" i="25"/>
  <c r="D179" i="25"/>
  <c r="B179" i="25"/>
  <c r="F178" i="25"/>
  <c r="D178" i="25"/>
  <c r="B178" i="25"/>
  <c r="F177" i="25"/>
  <c r="D177" i="25"/>
  <c r="B177" i="25"/>
  <c r="F176" i="25"/>
  <c r="D176" i="25"/>
  <c r="B176" i="25"/>
  <c r="F175" i="25"/>
  <c r="D175" i="25"/>
  <c r="B175" i="25"/>
  <c r="F174" i="25"/>
  <c r="D174" i="25"/>
  <c r="B174" i="25"/>
  <c r="F173" i="25"/>
  <c r="D173" i="25"/>
  <c r="B173" i="25"/>
  <c r="F172" i="25"/>
  <c r="D172" i="25"/>
  <c r="B172" i="25"/>
  <c r="F171" i="25"/>
  <c r="D171" i="25"/>
  <c r="B171" i="25"/>
  <c r="F170" i="25"/>
  <c r="D170" i="25"/>
  <c r="B170" i="25"/>
  <c r="F169" i="25"/>
  <c r="D169" i="25"/>
  <c r="B169" i="25"/>
  <c r="F168" i="25"/>
  <c r="D168" i="25"/>
  <c r="B168" i="25"/>
  <c r="F167" i="25"/>
  <c r="D167" i="25"/>
  <c r="B167" i="25"/>
  <c r="F166" i="25"/>
  <c r="D166" i="25"/>
  <c r="B166" i="25"/>
  <c r="F165" i="25"/>
  <c r="D165" i="25"/>
  <c r="B165" i="25"/>
  <c r="F164" i="25"/>
  <c r="D164" i="25"/>
  <c r="B164" i="25"/>
  <c r="F163" i="25"/>
  <c r="D163" i="25"/>
  <c r="B163" i="25"/>
  <c r="F162" i="25"/>
  <c r="D162" i="25"/>
  <c r="B162" i="25"/>
  <c r="F161" i="25"/>
  <c r="D161" i="25"/>
  <c r="B161" i="25"/>
  <c r="F160" i="25"/>
  <c r="D160" i="25"/>
  <c r="B160" i="25"/>
  <c r="F159" i="25"/>
  <c r="D159" i="25"/>
  <c r="B159" i="25"/>
  <c r="F158" i="25"/>
  <c r="D158" i="25"/>
  <c r="B158" i="25"/>
  <c r="F157" i="25"/>
  <c r="D157" i="25"/>
  <c r="B157" i="25"/>
  <c r="F156" i="25"/>
  <c r="D156" i="25"/>
  <c r="B156" i="25"/>
  <c r="F155" i="25"/>
  <c r="D155" i="25"/>
  <c r="B155" i="25"/>
  <c r="F154" i="25"/>
  <c r="D154" i="25"/>
  <c r="B154" i="25"/>
  <c r="F153" i="25"/>
  <c r="D153" i="25"/>
  <c r="B153" i="25"/>
  <c r="F152" i="25"/>
  <c r="D152" i="25"/>
  <c r="B152" i="25"/>
  <c r="F151" i="25"/>
  <c r="D151" i="25"/>
  <c r="B151" i="25"/>
  <c r="F150" i="25"/>
  <c r="D150" i="25"/>
  <c r="B150" i="25"/>
  <c r="F149" i="25"/>
  <c r="D149" i="25"/>
  <c r="B149" i="25"/>
  <c r="F148" i="25"/>
  <c r="D148" i="25"/>
  <c r="B148" i="25"/>
  <c r="F147" i="25"/>
  <c r="D147" i="25"/>
  <c r="B147" i="25"/>
  <c r="F146" i="25"/>
  <c r="D146" i="25"/>
  <c r="B146" i="25"/>
  <c r="F145" i="25"/>
  <c r="D145" i="25"/>
  <c r="B145" i="25"/>
  <c r="F144" i="25"/>
  <c r="D144" i="25"/>
  <c r="B144" i="25"/>
  <c r="F143" i="25"/>
  <c r="D143" i="25"/>
  <c r="B143" i="25"/>
  <c r="F142" i="25"/>
  <c r="D142" i="25"/>
  <c r="B142" i="25"/>
  <c r="F141" i="25"/>
  <c r="D141" i="25"/>
  <c r="B141" i="25"/>
  <c r="F140" i="25"/>
  <c r="D140" i="25"/>
  <c r="B140" i="25"/>
  <c r="F139" i="25"/>
  <c r="D139" i="25"/>
  <c r="B139" i="25"/>
  <c r="F138" i="25"/>
  <c r="D138" i="25"/>
  <c r="B138" i="25"/>
  <c r="F137" i="25"/>
  <c r="D137" i="25"/>
  <c r="B137" i="25"/>
  <c r="F136" i="25"/>
  <c r="D136" i="25"/>
  <c r="B136" i="25"/>
  <c r="F135" i="25"/>
  <c r="D135" i="25"/>
  <c r="B135" i="25"/>
  <c r="F134" i="25"/>
  <c r="D134" i="25"/>
  <c r="B134" i="25"/>
  <c r="F133" i="25"/>
  <c r="D133" i="25"/>
  <c r="B133" i="25"/>
  <c r="F132" i="25"/>
  <c r="D132" i="25"/>
  <c r="B132" i="25"/>
  <c r="F131" i="25"/>
  <c r="D131" i="25"/>
  <c r="B131" i="25"/>
  <c r="F130" i="25"/>
  <c r="D130" i="25"/>
  <c r="B130" i="25"/>
  <c r="F129" i="25"/>
  <c r="D129" i="25"/>
  <c r="B129" i="25"/>
  <c r="F128" i="25"/>
  <c r="D128" i="25"/>
  <c r="B128" i="25"/>
  <c r="F127" i="25"/>
  <c r="D127" i="25"/>
  <c r="B127" i="25"/>
  <c r="F126" i="25"/>
  <c r="D126" i="25"/>
  <c r="B126" i="25"/>
  <c r="F125" i="25"/>
  <c r="D125" i="25"/>
  <c r="B125" i="25"/>
  <c r="F124" i="25"/>
  <c r="D124" i="25"/>
  <c r="B124" i="25"/>
  <c r="F123" i="25"/>
  <c r="D123" i="25"/>
  <c r="B123" i="25"/>
  <c r="F122" i="25"/>
  <c r="D122" i="25"/>
  <c r="B122" i="25"/>
  <c r="F121" i="25"/>
  <c r="D121" i="25"/>
  <c r="B121" i="25"/>
  <c r="F120" i="25"/>
  <c r="D120" i="25"/>
  <c r="B120" i="25"/>
  <c r="F119" i="25"/>
  <c r="D119" i="25"/>
  <c r="B119" i="25"/>
  <c r="F118" i="25"/>
  <c r="D118" i="25"/>
  <c r="B118" i="25"/>
  <c r="F117" i="25"/>
  <c r="D117" i="25"/>
  <c r="B117" i="25"/>
  <c r="F116" i="25"/>
  <c r="D116" i="25"/>
  <c r="B116" i="25"/>
  <c r="F115" i="25"/>
  <c r="D115" i="25"/>
  <c r="B115" i="25"/>
  <c r="F114" i="25"/>
  <c r="D114" i="25"/>
  <c r="B114" i="25"/>
  <c r="F113" i="25"/>
  <c r="D113" i="25"/>
  <c r="B113" i="25"/>
  <c r="F112" i="25"/>
  <c r="D112" i="25"/>
  <c r="B112" i="25"/>
  <c r="F111" i="25"/>
  <c r="D111" i="25"/>
  <c r="B111" i="25"/>
  <c r="F110" i="25"/>
  <c r="D110" i="25"/>
  <c r="B110" i="25"/>
  <c r="F109" i="25"/>
  <c r="D109" i="25"/>
  <c r="B109" i="25"/>
  <c r="F108" i="25"/>
  <c r="D108" i="25"/>
  <c r="B108" i="25"/>
  <c r="F107" i="25"/>
  <c r="D107" i="25"/>
  <c r="B107" i="25"/>
  <c r="F106" i="25"/>
  <c r="D106" i="25"/>
  <c r="B106" i="25"/>
  <c r="F105" i="25"/>
  <c r="D105" i="25"/>
  <c r="B105" i="25"/>
  <c r="F104" i="25"/>
  <c r="D104" i="25"/>
  <c r="B104" i="25"/>
  <c r="F103" i="25"/>
  <c r="D103" i="25"/>
  <c r="B103" i="25"/>
  <c r="F102" i="25"/>
  <c r="D102" i="25"/>
  <c r="B102" i="25"/>
  <c r="F101" i="25"/>
  <c r="D101" i="25"/>
  <c r="B101" i="25"/>
  <c r="F100" i="25"/>
  <c r="D100" i="25"/>
  <c r="B100" i="25"/>
  <c r="F99" i="25"/>
  <c r="D99" i="25"/>
  <c r="B99" i="25"/>
  <c r="F98" i="25"/>
  <c r="D98" i="25"/>
  <c r="B98" i="25"/>
  <c r="F97" i="25"/>
  <c r="D97" i="25"/>
  <c r="B97" i="25"/>
  <c r="F96" i="25"/>
  <c r="D96" i="25"/>
  <c r="B96" i="25"/>
  <c r="F95" i="25"/>
  <c r="D95" i="25"/>
  <c r="B95" i="25"/>
  <c r="F94" i="25"/>
  <c r="D94" i="25"/>
  <c r="B94" i="25"/>
  <c r="F93" i="25"/>
  <c r="D93" i="25"/>
  <c r="B93" i="25"/>
  <c r="F92" i="25"/>
  <c r="D92" i="25"/>
  <c r="B92" i="25"/>
  <c r="F91" i="25"/>
  <c r="D91" i="25"/>
  <c r="B91" i="25"/>
  <c r="F90" i="25"/>
  <c r="D90" i="25"/>
  <c r="B90" i="25"/>
  <c r="F89" i="25"/>
  <c r="D89" i="25"/>
  <c r="B89" i="25"/>
  <c r="F88" i="25"/>
  <c r="D88" i="25"/>
  <c r="B88" i="25"/>
  <c r="F87" i="25"/>
  <c r="D87" i="25"/>
  <c r="B87" i="25"/>
  <c r="F86" i="25"/>
  <c r="D86" i="25"/>
  <c r="B86" i="25"/>
  <c r="F85" i="25"/>
  <c r="D85" i="25"/>
  <c r="B85" i="25"/>
  <c r="F84" i="25"/>
  <c r="D84" i="25"/>
  <c r="B84" i="25"/>
  <c r="F83" i="25"/>
  <c r="D83" i="25"/>
  <c r="B83" i="25"/>
  <c r="F82" i="25"/>
  <c r="D82" i="25"/>
  <c r="B82" i="25"/>
  <c r="F81" i="25"/>
  <c r="D81" i="25"/>
  <c r="B81" i="25"/>
  <c r="F80" i="25"/>
  <c r="D80" i="25"/>
  <c r="B80" i="25"/>
  <c r="F79" i="25"/>
  <c r="D79" i="25"/>
  <c r="B79" i="25"/>
  <c r="F78" i="25"/>
  <c r="D78" i="25"/>
  <c r="B78" i="25"/>
  <c r="F77" i="25"/>
  <c r="D77" i="25"/>
  <c r="B77" i="25"/>
  <c r="F76" i="25"/>
  <c r="D76" i="25"/>
  <c r="B76" i="25"/>
  <c r="F75" i="25"/>
  <c r="D75" i="25"/>
  <c r="B75" i="25"/>
  <c r="F74" i="25"/>
  <c r="D74" i="25"/>
  <c r="B74" i="25"/>
  <c r="F73" i="25"/>
  <c r="D73" i="25"/>
  <c r="B73" i="25"/>
  <c r="F72" i="25"/>
  <c r="D72" i="25"/>
  <c r="B72" i="25"/>
  <c r="F71" i="25"/>
  <c r="D71" i="25"/>
  <c r="B71" i="25"/>
  <c r="F70" i="25"/>
  <c r="D70" i="25"/>
  <c r="B70" i="25"/>
  <c r="F69" i="25"/>
  <c r="D69" i="25"/>
  <c r="B69" i="25"/>
  <c r="F68" i="25"/>
  <c r="D68" i="25"/>
  <c r="B68" i="25"/>
  <c r="F67" i="25"/>
  <c r="D67" i="25"/>
  <c r="B67" i="25"/>
  <c r="F66" i="25"/>
  <c r="D66" i="25"/>
  <c r="B66" i="25"/>
  <c r="F65" i="25"/>
  <c r="D65" i="25"/>
  <c r="B65" i="25"/>
  <c r="F64" i="25"/>
  <c r="D64" i="25"/>
  <c r="B64" i="25"/>
  <c r="F63" i="25"/>
  <c r="D63" i="25"/>
  <c r="B63" i="25"/>
  <c r="F62" i="25"/>
  <c r="D62" i="25"/>
  <c r="B62" i="25"/>
  <c r="F61" i="25"/>
  <c r="D61" i="25"/>
  <c r="B61" i="25"/>
  <c r="F60" i="25"/>
  <c r="D60" i="25"/>
  <c r="B60" i="25"/>
  <c r="F59" i="25"/>
  <c r="D59" i="25"/>
  <c r="B59" i="25"/>
  <c r="F58" i="25"/>
  <c r="D58" i="25"/>
  <c r="B58" i="25"/>
  <c r="F57" i="25"/>
  <c r="D57" i="25"/>
  <c r="B57" i="25"/>
  <c r="F56" i="25"/>
  <c r="D56" i="25"/>
  <c r="B56" i="25"/>
  <c r="F55" i="25"/>
  <c r="D55" i="25"/>
  <c r="B55" i="25"/>
  <c r="F54" i="25"/>
  <c r="D54" i="25"/>
  <c r="B54" i="25"/>
  <c r="F53" i="25"/>
  <c r="D53" i="25"/>
  <c r="B53" i="25"/>
  <c r="F52" i="25"/>
  <c r="D52" i="25"/>
  <c r="B52" i="25"/>
  <c r="F51" i="25"/>
  <c r="D51" i="25"/>
  <c r="B51" i="25"/>
  <c r="F50" i="25"/>
  <c r="D50" i="25"/>
  <c r="B50" i="25"/>
  <c r="F49" i="25"/>
  <c r="D49" i="25"/>
  <c r="B49" i="25"/>
  <c r="F48" i="25"/>
  <c r="D48" i="25"/>
  <c r="B48" i="25"/>
  <c r="F47" i="25"/>
  <c r="D47" i="25"/>
  <c r="B47" i="25"/>
  <c r="F46" i="25"/>
  <c r="D46" i="25"/>
  <c r="B46" i="25"/>
  <c r="F45" i="25"/>
  <c r="D45" i="25"/>
  <c r="B45" i="25"/>
  <c r="F44" i="25"/>
  <c r="D44" i="25"/>
  <c r="B44" i="25"/>
  <c r="F43" i="25"/>
  <c r="D43" i="25"/>
  <c r="B43" i="25"/>
  <c r="F42" i="25"/>
  <c r="D42" i="25"/>
  <c r="B42" i="25"/>
  <c r="F41" i="25"/>
  <c r="D41" i="25"/>
  <c r="B41" i="25"/>
  <c r="F40" i="25"/>
  <c r="D40" i="25"/>
  <c r="B40" i="25"/>
  <c r="F39" i="25"/>
  <c r="D39" i="25"/>
  <c r="B39" i="25"/>
  <c r="F38" i="25"/>
  <c r="D38" i="25"/>
  <c r="B38" i="25"/>
  <c r="F37" i="25"/>
  <c r="D37" i="25"/>
  <c r="B37" i="25"/>
  <c r="F36" i="25"/>
  <c r="D36" i="25"/>
  <c r="B36" i="25"/>
  <c r="F35" i="25"/>
  <c r="D35" i="25"/>
  <c r="B35" i="25"/>
  <c r="F34" i="25"/>
  <c r="D34" i="25"/>
  <c r="B34" i="25"/>
  <c r="F33" i="25"/>
  <c r="D33" i="25"/>
  <c r="B33" i="25"/>
  <c r="F32" i="25"/>
  <c r="D32" i="25"/>
  <c r="B32" i="25"/>
  <c r="F31" i="25"/>
  <c r="D31" i="25"/>
  <c r="B31" i="25"/>
  <c r="F30" i="25"/>
  <c r="D30" i="25"/>
  <c r="B30" i="25"/>
  <c r="F29" i="25"/>
  <c r="D29" i="25"/>
  <c r="B29" i="25"/>
  <c r="F28" i="25"/>
  <c r="D28" i="25"/>
  <c r="B28" i="25"/>
  <c r="F27" i="25"/>
  <c r="D27" i="25"/>
  <c r="B27" i="25"/>
  <c r="F26" i="25"/>
  <c r="D26" i="25"/>
  <c r="B26" i="25"/>
  <c r="F25" i="25"/>
  <c r="D25" i="25"/>
  <c r="B25" i="25"/>
  <c r="F24" i="25"/>
  <c r="D24" i="25"/>
  <c r="B24" i="25"/>
  <c r="F23" i="25"/>
  <c r="D23" i="25"/>
  <c r="B23" i="25"/>
  <c r="F22" i="25"/>
  <c r="D22" i="25"/>
  <c r="B22" i="25"/>
  <c r="F21" i="25"/>
  <c r="D21" i="25"/>
  <c r="B21" i="25"/>
  <c r="F20" i="25"/>
  <c r="D20" i="25"/>
  <c r="B20" i="25"/>
  <c r="F19" i="25"/>
  <c r="D19" i="25"/>
  <c r="B19" i="25"/>
  <c r="F18" i="25"/>
  <c r="D18" i="25"/>
  <c r="B18" i="25"/>
  <c r="F17" i="25"/>
  <c r="D17" i="25"/>
  <c r="B17" i="25"/>
  <c r="F16" i="25"/>
  <c r="D16" i="25"/>
  <c r="B16" i="25"/>
  <c r="F15" i="25"/>
  <c r="D15" i="25"/>
  <c r="B15" i="25"/>
  <c r="F14" i="25"/>
  <c r="D14" i="25"/>
  <c r="B14" i="25"/>
  <c r="F13" i="25"/>
  <c r="D13" i="25"/>
  <c r="B13" i="25"/>
  <c r="F12" i="25"/>
  <c r="D12" i="25"/>
  <c r="B12" i="25"/>
  <c r="F11" i="25"/>
  <c r="D11" i="25"/>
  <c r="B11" i="25"/>
  <c r="F10" i="25"/>
  <c r="D10" i="25"/>
  <c r="B10" i="25"/>
  <c r="F9" i="25"/>
  <c r="D9" i="25"/>
  <c r="B9" i="25"/>
  <c r="F8" i="25"/>
  <c r="D8" i="25"/>
  <c r="B8" i="25"/>
  <c r="F7" i="25"/>
  <c r="D7" i="25"/>
  <c r="B7" i="25"/>
  <c r="F6" i="25"/>
  <c r="D6" i="25"/>
  <c r="B6" i="25"/>
  <c r="F5" i="25"/>
  <c r="D5" i="25"/>
  <c r="B5" i="25"/>
  <c r="F4" i="25"/>
  <c r="D4" i="25"/>
  <c r="B4" i="25"/>
  <c r="H501" i="17"/>
  <c r="F501" i="17"/>
  <c r="D501" i="17"/>
  <c r="B501" i="17"/>
  <c r="A501" i="17"/>
  <c r="H500" i="17"/>
  <c r="F500" i="17"/>
  <c r="D500" i="17"/>
  <c r="B500" i="17"/>
  <c r="A500" i="17"/>
  <c r="H499" i="17"/>
  <c r="F499" i="17"/>
  <c r="D499" i="17"/>
  <c r="B499" i="17"/>
  <c r="A499" i="17"/>
  <c r="H498" i="17"/>
  <c r="F498" i="17"/>
  <c r="D498" i="17"/>
  <c r="B498" i="17"/>
  <c r="A498" i="17"/>
  <c r="H497" i="17"/>
  <c r="F497" i="17"/>
  <c r="D497" i="17"/>
  <c r="B497" i="17"/>
  <c r="A497" i="17"/>
  <c r="H496" i="17"/>
  <c r="F496" i="17"/>
  <c r="D496" i="17"/>
  <c r="B496" i="17"/>
  <c r="A496" i="17"/>
  <c r="H495" i="17"/>
  <c r="F495" i="17"/>
  <c r="D495" i="17"/>
  <c r="B495" i="17"/>
  <c r="A495" i="17"/>
  <c r="H494" i="17"/>
  <c r="F494" i="17"/>
  <c r="D494" i="17"/>
  <c r="B494" i="17"/>
  <c r="A494" i="17"/>
  <c r="H493" i="17"/>
  <c r="F493" i="17"/>
  <c r="D493" i="17"/>
  <c r="B493" i="17"/>
  <c r="A493" i="17"/>
  <c r="H492" i="17"/>
  <c r="F492" i="17"/>
  <c r="D492" i="17"/>
  <c r="B492" i="17"/>
  <c r="A492" i="17"/>
  <c r="H491" i="17"/>
  <c r="F491" i="17"/>
  <c r="D491" i="17"/>
  <c r="B491" i="17"/>
  <c r="A491" i="17"/>
  <c r="H490" i="17"/>
  <c r="F490" i="17"/>
  <c r="D490" i="17"/>
  <c r="B490" i="17"/>
  <c r="A490" i="17"/>
  <c r="H489" i="17"/>
  <c r="F489" i="17"/>
  <c r="D489" i="17"/>
  <c r="B489" i="17"/>
  <c r="A489" i="17"/>
  <c r="H488" i="17"/>
  <c r="F488" i="17"/>
  <c r="D488" i="17"/>
  <c r="B488" i="17"/>
  <c r="A488" i="17"/>
  <c r="H487" i="17"/>
  <c r="F487" i="17"/>
  <c r="D487" i="17"/>
  <c r="B487" i="17"/>
  <c r="A487" i="17"/>
  <c r="H486" i="17"/>
  <c r="F486" i="17"/>
  <c r="D486" i="17"/>
  <c r="B486" i="17"/>
  <c r="A486" i="17"/>
  <c r="H485" i="17"/>
  <c r="F485" i="17"/>
  <c r="D485" i="17"/>
  <c r="B485" i="17"/>
  <c r="A485" i="17"/>
  <c r="H484" i="17"/>
  <c r="F484" i="17"/>
  <c r="D484" i="17"/>
  <c r="B484" i="17"/>
  <c r="A484" i="17"/>
  <c r="H483" i="17"/>
  <c r="F483" i="17"/>
  <c r="D483" i="17"/>
  <c r="B483" i="17"/>
  <c r="A483" i="17"/>
  <c r="H482" i="17"/>
  <c r="F482" i="17"/>
  <c r="D482" i="17"/>
  <c r="B482" i="17"/>
  <c r="A482" i="17"/>
  <c r="H481" i="17"/>
  <c r="F481" i="17"/>
  <c r="D481" i="17"/>
  <c r="B481" i="17"/>
  <c r="A481" i="17"/>
  <c r="H480" i="17"/>
  <c r="F480" i="17"/>
  <c r="D480" i="17"/>
  <c r="B480" i="17"/>
  <c r="A480" i="17"/>
  <c r="H479" i="17"/>
  <c r="F479" i="17"/>
  <c r="D479" i="17"/>
  <c r="B479" i="17"/>
  <c r="A479" i="17"/>
  <c r="H478" i="17"/>
  <c r="F478" i="17"/>
  <c r="D478" i="17"/>
  <c r="B478" i="17"/>
  <c r="A478" i="17"/>
  <c r="H477" i="17"/>
  <c r="F477" i="17"/>
  <c r="D477" i="17"/>
  <c r="B477" i="17"/>
  <c r="A477" i="17"/>
  <c r="H476" i="17"/>
  <c r="F476" i="17"/>
  <c r="D476" i="17"/>
  <c r="B476" i="17"/>
  <c r="A476" i="17"/>
  <c r="H475" i="17"/>
  <c r="F475" i="17"/>
  <c r="D475" i="17"/>
  <c r="B475" i="17"/>
  <c r="A475" i="17"/>
  <c r="H474" i="17"/>
  <c r="F474" i="17"/>
  <c r="D474" i="17"/>
  <c r="B474" i="17"/>
  <c r="A474" i="17"/>
  <c r="H473" i="17"/>
  <c r="F473" i="17"/>
  <c r="D473" i="17"/>
  <c r="B473" i="17"/>
  <c r="A473" i="17"/>
  <c r="H472" i="17"/>
  <c r="F472" i="17"/>
  <c r="D472" i="17"/>
  <c r="B472" i="17"/>
  <c r="A472" i="17"/>
  <c r="H471" i="17"/>
  <c r="F471" i="17"/>
  <c r="D471" i="17"/>
  <c r="B471" i="17"/>
  <c r="A471" i="17"/>
  <c r="H470" i="17"/>
  <c r="F470" i="17"/>
  <c r="D470" i="17"/>
  <c r="B470" i="17"/>
  <c r="A470" i="17"/>
  <c r="H469" i="17"/>
  <c r="F469" i="17"/>
  <c r="D469" i="17"/>
  <c r="B469" i="17"/>
  <c r="A469" i="17"/>
  <c r="H468" i="17"/>
  <c r="F468" i="17"/>
  <c r="D468" i="17"/>
  <c r="B468" i="17"/>
  <c r="A468" i="17"/>
  <c r="H467" i="17"/>
  <c r="F467" i="17"/>
  <c r="D467" i="17"/>
  <c r="B467" i="17"/>
  <c r="A467" i="17"/>
  <c r="H466" i="17"/>
  <c r="F466" i="17"/>
  <c r="D466" i="17"/>
  <c r="B466" i="17"/>
  <c r="A466" i="17"/>
  <c r="H465" i="17"/>
  <c r="F465" i="17"/>
  <c r="D465" i="17"/>
  <c r="B465" i="17"/>
  <c r="A465" i="17"/>
  <c r="H464" i="17"/>
  <c r="F464" i="17"/>
  <c r="D464" i="17"/>
  <c r="B464" i="17"/>
  <c r="A464" i="17"/>
  <c r="H463" i="17"/>
  <c r="F463" i="17"/>
  <c r="D463" i="17"/>
  <c r="B463" i="17"/>
  <c r="A463" i="17"/>
  <c r="H462" i="17"/>
  <c r="F462" i="17"/>
  <c r="D462" i="17"/>
  <c r="B462" i="17"/>
  <c r="A462" i="17"/>
  <c r="H461" i="17"/>
  <c r="F461" i="17"/>
  <c r="D461" i="17"/>
  <c r="B461" i="17"/>
  <c r="A461" i="17"/>
  <c r="H460" i="17"/>
  <c r="F460" i="17"/>
  <c r="D460" i="17"/>
  <c r="B460" i="17"/>
  <c r="A460" i="17"/>
  <c r="H459" i="17"/>
  <c r="F459" i="17"/>
  <c r="D459" i="17"/>
  <c r="B459" i="17"/>
  <c r="A459" i="17"/>
  <c r="H458" i="17"/>
  <c r="F458" i="17"/>
  <c r="D458" i="17"/>
  <c r="B458" i="17"/>
  <c r="A458" i="17"/>
  <c r="H457" i="17"/>
  <c r="F457" i="17"/>
  <c r="D457" i="17"/>
  <c r="B457" i="17"/>
  <c r="A457" i="17"/>
  <c r="H456" i="17"/>
  <c r="F456" i="17"/>
  <c r="D456" i="17"/>
  <c r="B456" i="17"/>
  <c r="A456" i="17"/>
  <c r="H455" i="17"/>
  <c r="F455" i="17"/>
  <c r="D455" i="17"/>
  <c r="B455" i="17"/>
  <c r="A455" i="17"/>
  <c r="H454" i="17"/>
  <c r="F454" i="17"/>
  <c r="D454" i="17"/>
  <c r="B454" i="17"/>
  <c r="A454" i="17"/>
  <c r="H453" i="17"/>
  <c r="F453" i="17"/>
  <c r="D453" i="17"/>
  <c r="B453" i="17"/>
  <c r="A453" i="17"/>
  <c r="H452" i="17"/>
  <c r="F452" i="17"/>
  <c r="D452" i="17"/>
  <c r="B452" i="17"/>
  <c r="A452" i="17"/>
  <c r="H451" i="17"/>
  <c r="F451" i="17"/>
  <c r="D451" i="17"/>
  <c r="B451" i="17"/>
  <c r="A451" i="17"/>
  <c r="H450" i="17"/>
  <c r="F450" i="17"/>
  <c r="D450" i="17"/>
  <c r="B450" i="17"/>
  <c r="A450" i="17"/>
  <c r="H449" i="17"/>
  <c r="F449" i="17"/>
  <c r="D449" i="17"/>
  <c r="B449" i="17"/>
  <c r="A449" i="17"/>
  <c r="H448" i="17"/>
  <c r="F448" i="17"/>
  <c r="D448" i="17"/>
  <c r="B448" i="17"/>
  <c r="A448" i="17"/>
  <c r="H447" i="17"/>
  <c r="F447" i="17"/>
  <c r="D447" i="17"/>
  <c r="B447" i="17"/>
  <c r="A447" i="17"/>
  <c r="H446" i="17"/>
  <c r="F446" i="17"/>
  <c r="D446" i="17"/>
  <c r="B446" i="17"/>
  <c r="A446" i="17"/>
  <c r="H445" i="17"/>
  <c r="F445" i="17"/>
  <c r="D445" i="17"/>
  <c r="B445" i="17"/>
  <c r="A445" i="17"/>
  <c r="H444" i="17"/>
  <c r="F444" i="17"/>
  <c r="D444" i="17"/>
  <c r="B444" i="17"/>
  <c r="A444" i="17"/>
  <c r="H443" i="17"/>
  <c r="F443" i="17"/>
  <c r="D443" i="17"/>
  <c r="B443" i="17"/>
  <c r="A443" i="17"/>
  <c r="H442" i="17"/>
  <c r="F442" i="17"/>
  <c r="D442" i="17"/>
  <c r="B442" i="17"/>
  <c r="A442" i="17"/>
  <c r="H441" i="17"/>
  <c r="F441" i="17"/>
  <c r="D441" i="17"/>
  <c r="B441" i="17"/>
  <c r="A441" i="17"/>
  <c r="H440" i="17"/>
  <c r="F440" i="17"/>
  <c r="D440" i="17"/>
  <c r="B440" i="17"/>
  <c r="A440" i="17"/>
  <c r="H439" i="17"/>
  <c r="F439" i="17"/>
  <c r="D439" i="17"/>
  <c r="B439" i="17"/>
  <c r="A439" i="17"/>
  <c r="H438" i="17"/>
  <c r="F438" i="17"/>
  <c r="D438" i="17"/>
  <c r="B438" i="17"/>
  <c r="A438" i="17"/>
  <c r="H437" i="17"/>
  <c r="F437" i="17"/>
  <c r="D437" i="17"/>
  <c r="B437" i="17"/>
  <c r="A437" i="17"/>
  <c r="H436" i="17"/>
  <c r="F436" i="17"/>
  <c r="D436" i="17"/>
  <c r="B436" i="17"/>
  <c r="A436" i="17"/>
  <c r="H435" i="17"/>
  <c r="F435" i="17"/>
  <c r="D435" i="17"/>
  <c r="B435" i="17"/>
  <c r="A435" i="17"/>
  <c r="H434" i="17"/>
  <c r="F434" i="17"/>
  <c r="D434" i="17"/>
  <c r="B434" i="17"/>
  <c r="A434" i="17"/>
  <c r="H433" i="17"/>
  <c r="F433" i="17"/>
  <c r="D433" i="17"/>
  <c r="B433" i="17"/>
  <c r="A433" i="17"/>
  <c r="H432" i="17"/>
  <c r="F432" i="17"/>
  <c r="D432" i="17"/>
  <c r="B432" i="17"/>
  <c r="A432" i="17"/>
  <c r="H431" i="17"/>
  <c r="F431" i="17"/>
  <c r="D431" i="17"/>
  <c r="B431" i="17"/>
  <c r="A431" i="17"/>
  <c r="H430" i="17"/>
  <c r="F430" i="17"/>
  <c r="D430" i="17"/>
  <c r="B430" i="17"/>
  <c r="A430" i="17"/>
  <c r="H429" i="17"/>
  <c r="F429" i="17"/>
  <c r="D429" i="17"/>
  <c r="B429" i="17"/>
  <c r="A429" i="17"/>
  <c r="H428" i="17"/>
  <c r="F428" i="17"/>
  <c r="D428" i="17"/>
  <c r="B428" i="17"/>
  <c r="A428" i="17"/>
  <c r="H427" i="17"/>
  <c r="F427" i="17"/>
  <c r="D427" i="17"/>
  <c r="B427" i="17"/>
  <c r="A427" i="17"/>
  <c r="H426" i="17"/>
  <c r="F426" i="17"/>
  <c r="D426" i="17"/>
  <c r="B426" i="17"/>
  <c r="A426" i="17"/>
  <c r="H425" i="17"/>
  <c r="F425" i="17"/>
  <c r="D425" i="17"/>
  <c r="B425" i="17"/>
  <c r="A425" i="17"/>
  <c r="H424" i="17"/>
  <c r="F424" i="17"/>
  <c r="D424" i="17"/>
  <c r="B424" i="17"/>
  <c r="A424" i="17"/>
  <c r="H423" i="17"/>
  <c r="F423" i="17"/>
  <c r="D423" i="17"/>
  <c r="B423" i="17"/>
  <c r="A423" i="17"/>
  <c r="H422" i="17"/>
  <c r="F422" i="17"/>
  <c r="D422" i="17"/>
  <c r="B422" i="17"/>
  <c r="A422" i="17"/>
  <c r="H421" i="17"/>
  <c r="F421" i="17"/>
  <c r="D421" i="17"/>
  <c r="B421" i="17"/>
  <c r="A421" i="17"/>
  <c r="H420" i="17"/>
  <c r="F420" i="17"/>
  <c r="D420" i="17"/>
  <c r="B420" i="17"/>
  <c r="A420" i="17"/>
  <c r="H419" i="17"/>
  <c r="F419" i="17"/>
  <c r="D419" i="17"/>
  <c r="B419" i="17"/>
  <c r="A419" i="17"/>
  <c r="H418" i="17"/>
  <c r="F418" i="17"/>
  <c r="D418" i="17"/>
  <c r="B418" i="17"/>
  <c r="A418" i="17"/>
  <c r="H417" i="17"/>
  <c r="F417" i="17"/>
  <c r="D417" i="17"/>
  <c r="B417" i="17"/>
  <c r="A417" i="17"/>
  <c r="H416" i="17"/>
  <c r="F416" i="17"/>
  <c r="D416" i="17"/>
  <c r="B416" i="17"/>
  <c r="A416" i="17"/>
  <c r="H415" i="17"/>
  <c r="F415" i="17"/>
  <c r="D415" i="17"/>
  <c r="B415" i="17"/>
  <c r="A415" i="17"/>
  <c r="H414" i="17"/>
  <c r="F414" i="17"/>
  <c r="D414" i="17"/>
  <c r="B414" i="17"/>
  <c r="A414" i="17"/>
  <c r="H413" i="17"/>
  <c r="F413" i="17"/>
  <c r="D413" i="17"/>
  <c r="B413" i="17"/>
  <c r="A413" i="17"/>
  <c r="H412" i="17"/>
  <c r="F412" i="17"/>
  <c r="D412" i="17"/>
  <c r="B412" i="17"/>
  <c r="A412" i="17"/>
  <c r="H411" i="17"/>
  <c r="F411" i="17"/>
  <c r="D411" i="17"/>
  <c r="B411" i="17"/>
  <c r="A411" i="17"/>
  <c r="H410" i="17"/>
  <c r="F410" i="17"/>
  <c r="D410" i="17"/>
  <c r="B410" i="17"/>
  <c r="A410" i="17"/>
  <c r="H409" i="17"/>
  <c r="F409" i="17"/>
  <c r="D409" i="17"/>
  <c r="B409" i="17"/>
  <c r="A409" i="17"/>
  <c r="H408" i="17"/>
  <c r="F408" i="17"/>
  <c r="D408" i="17"/>
  <c r="B408" i="17"/>
  <c r="A408" i="17"/>
  <c r="H407" i="17"/>
  <c r="F407" i="17"/>
  <c r="D407" i="17"/>
  <c r="B407" i="17"/>
  <c r="A407" i="17"/>
  <c r="H406" i="17"/>
  <c r="F406" i="17"/>
  <c r="D406" i="17"/>
  <c r="B406" i="17"/>
  <c r="A406" i="17"/>
  <c r="H405" i="17"/>
  <c r="F405" i="17"/>
  <c r="D405" i="17"/>
  <c r="B405" i="17"/>
  <c r="A405" i="17"/>
  <c r="H404" i="17"/>
  <c r="F404" i="17"/>
  <c r="D404" i="17"/>
  <c r="B404" i="17"/>
  <c r="A404" i="17"/>
  <c r="H403" i="17"/>
  <c r="F403" i="17"/>
  <c r="D403" i="17"/>
  <c r="B403" i="17"/>
  <c r="A403" i="17"/>
  <c r="H402" i="17"/>
  <c r="F402" i="17"/>
  <c r="D402" i="17"/>
  <c r="B402" i="17"/>
  <c r="A402" i="17"/>
  <c r="H401" i="17"/>
  <c r="F401" i="17"/>
  <c r="D401" i="17"/>
  <c r="B401" i="17"/>
  <c r="A401" i="17"/>
  <c r="H400" i="17"/>
  <c r="F400" i="17"/>
  <c r="D400" i="17"/>
  <c r="B400" i="17"/>
  <c r="A400" i="17"/>
  <c r="H399" i="17"/>
  <c r="F399" i="17"/>
  <c r="D399" i="17"/>
  <c r="B399" i="17"/>
  <c r="A399" i="17"/>
  <c r="H398" i="17"/>
  <c r="F398" i="17"/>
  <c r="D398" i="17"/>
  <c r="B398" i="17"/>
  <c r="A398" i="17"/>
  <c r="H397" i="17"/>
  <c r="F397" i="17"/>
  <c r="D397" i="17"/>
  <c r="B397" i="17"/>
  <c r="A397" i="17"/>
  <c r="H396" i="17"/>
  <c r="F396" i="17"/>
  <c r="D396" i="17"/>
  <c r="B396" i="17"/>
  <c r="A396" i="17"/>
  <c r="H395" i="17"/>
  <c r="F395" i="17"/>
  <c r="D395" i="17"/>
  <c r="B395" i="17"/>
  <c r="A395" i="17"/>
  <c r="H394" i="17"/>
  <c r="F394" i="17"/>
  <c r="D394" i="17"/>
  <c r="B394" i="17"/>
  <c r="A394" i="17"/>
  <c r="H393" i="17"/>
  <c r="F393" i="17"/>
  <c r="D393" i="17"/>
  <c r="B393" i="17"/>
  <c r="A393" i="17"/>
  <c r="H392" i="17"/>
  <c r="F392" i="17"/>
  <c r="D392" i="17"/>
  <c r="B392" i="17"/>
  <c r="A392" i="17"/>
  <c r="H391" i="17"/>
  <c r="F391" i="17"/>
  <c r="D391" i="17"/>
  <c r="B391" i="17"/>
  <c r="A391" i="17"/>
  <c r="H390" i="17"/>
  <c r="F390" i="17"/>
  <c r="D390" i="17"/>
  <c r="B390" i="17"/>
  <c r="A390" i="17"/>
  <c r="H389" i="17"/>
  <c r="F389" i="17"/>
  <c r="D389" i="17"/>
  <c r="B389" i="17"/>
  <c r="A389" i="17"/>
  <c r="H388" i="17"/>
  <c r="F388" i="17"/>
  <c r="D388" i="17"/>
  <c r="B388" i="17"/>
  <c r="A388" i="17"/>
  <c r="H387" i="17"/>
  <c r="F387" i="17"/>
  <c r="D387" i="17"/>
  <c r="B387" i="17"/>
  <c r="A387" i="17"/>
  <c r="H386" i="17"/>
  <c r="F386" i="17"/>
  <c r="D386" i="17"/>
  <c r="B386" i="17"/>
  <c r="A386" i="17"/>
  <c r="H385" i="17"/>
  <c r="F385" i="17"/>
  <c r="D385" i="17"/>
  <c r="B385" i="17"/>
  <c r="A385" i="17"/>
  <c r="H384" i="17"/>
  <c r="F384" i="17"/>
  <c r="D384" i="17"/>
  <c r="B384" i="17"/>
  <c r="A384" i="17"/>
  <c r="H383" i="17"/>
  <c r="F383" i="17"/>
  <c r="D383" i="17"/>
  <c r="B383" i="17"/>
  <c r="A383" i="17"/>
  <c r="H382" i="17"/>
  <c r="F382" i="17"/>
  <c r="D382" i="17"/>
  <c r="B382" i="17"/>
  <c r="A382" i="17"/>
  <c r="H381" i="17"/>
  <c r="F381" i="17"/>
  <c r="D381" i="17"/>
  <c r="B381" i="17"/>
  <c r="A381" i="17"/>
  <c r="H380" i="17"/>
  <c r="F380" i="17"/>
  <c r="D380" i="17"/>
  <c r="B380" i="17"/>
  <c r="A380" i="17"/>
  <c r="H379" i="17"/>
  <c r="F379" i="17"/>
  <c r="D379" i="17"/>
  <c r="B379" i="17"/>
  <c r="A379" i="17"/>
  <c r="H378" i="17"/>
  <c r="F378" i="17"/>
  <c r="D378" i="17"/>
  <c r="B378" i="17"/>
  <c r="A378" i="17"/>
  <c r="H377" i="17"/>
  <c r="F377" i="17"/>
  <c r="D377" i="17"/>
  <c r="B377" i="17"/>
  <c r="A377" i="17"/>
  <c r="H376" i="17"/>
  <c r="F376" i="17"/>
  <c r="D376" i="17"/>
  <c r="B376" i="17"/>
  <c r="A376" i="17"/>
  <c r="H375" i="17"/>
  <c r="F375" i="17"/>
  <c r="D375" i="17"/>
  <c r="B375" i="17"/>
  <c r="A375" i="17"/>
  <c r="H374" i="17"/>
  <c r="F374" i="17"/>
  <c r="D374" i="17"/>
  <c r="B374" i="17"/>
  <c r="A374" i="17"/>
  <c r="H373" i="17"/>
  <c r="F373" i="17"/>
  <c r="D373" i="17"/>
  <c r="B373" i="17"/>
  <c r="A373" i="17"/>
  <c r="H372" i="17"/>
  <c r="F372" i="17"/>
  <c r="D372" i="17"/>
  <c r="B372" i="17"/>
  <c r="A372" i="17"/>
  <c r="H371" i="17"/>
  <c r="F371" i="17"/>
  <c r="D371" i="17"/>
  <c r="B371" i="17"/>
  <c r="A371" i="17"/>
  <c r="H370" i="17"/>
  <c r="F370" i="17"/>
  <c r="D370" i="17"/>
  <c r="B370" i="17"/>
  <c r="A370" i="17"/>
  <c r="H369" i="17"/>
  <c r="F369" i="17"/>
  <c r="D369" i="17"/>
  <c r="B369" i="17"/>
  <c r="A369" i="17"/>
  <c r="H368" i="17"/>
  <c r="F368" i="17"/>
  <c r="D368" i="17"/>
  <c r="B368" i="17"/>
  <c r="A368" i="17"/>
  <c r="H367" i="17"/>
  <c r="F367" i="17"/>
  <c r="D367" i="17"/>
  <c r="B367" i="17"/>
  <c r="A367" i="17"/>
  <c r="H366" i="17"/>
  <c r="F366" i="17"/>
  <c r="D366" i="17"/>
  <c r="B366" i="17"/>
  <c r="A366" i="17"/>
  <c r="H365" i="17"/>
  <c r="F365" i="17"/>
  <c r="D365" i="17"/>
  <c r="B365" i="17"/>
  <c r="A365" i="17"/>
  <c r="H364" i="17"/>
  <c r="F364" i="17"/>
  <c r="D364" i="17"/>
  <c r="B364" i="17"/>
  <c r="A364" i="17"/>
  <c r="H363" i="17"/>
  <c r="F363" i="17"/>
  <c r="D363" i="17"/>
  <c r="B363" i="17"/>
  <c r="A363" i="17"/>
  <c r="H362" i="17"/>
  <c r="F362" i="17"/>
  <c r="D362" i="17"/>
  <c r="B362" i="17"/>
  <c r="A362" i="17"/>
  <c r="H361" i="17"/>
  <c r="F361" i="17"/>
  <c r="D361" i="17"/>
  <c r="B361" i="17"/>
  <c r="A361" i="17"/>
  <c r="H360" i="17"/>
  <c r="F360" i="17"/>
  <c r="D360" i="17"/>
  <c r="B360" i="17"/>
  <c r="A360" i="17"/>
  <c r="H359" i="17"/>
  <c r="F359" i="17"/>
  <c r="D359" i="17"/>
  <c r="B359" i="17"/>
  <c r="A359" i="17"/>
  <c r="H358" i="17"/>
  <c r="F358" i="17"/>
  <c r="D358" i="17"/>
  <c r="B358" i="17"/>
  <c r="A358" i="17"/>
  <c r="H357" i="17"/>
  <c r="F357" i="17"/>
  <c r="D357" i="17"/>
  <c r="B357" i="17"/>
  <c r="A357" i="17"/>
  <c r="H356" i="17"/>
  <c r="F356" i="17"/>
  <c r="D356" i="17"/>
  <c r="B356" i="17"/>
  <c r="A356" i="17"/>
  <c r="H355" i="17"/>
  <c r="F355" i="17"/>
  <c r="D355" i="17"/>
  <c r="B355" i="17"/>
  <c r="A355" i="17"/>
  <c r="H354" i="17"/>
  <c r="F354" i="17"/>
  <c r="D354" i="17"/>
  <c r="B354" i="17"/>
  <c r="A354" i="17"/>
  <c r="H353" i="17"/>
  <c r="F353" i="17"/>
  <c r="D353" i="17"/>
  <c r="B353" i="17"/>
  <c r="A353" i="17"/>
  <c r="H352" i="17"/>
  <c r="F352" i="17"/>
  <c r="D352" i="17"/>
  <c r="B352" i="17"/>
  <c r="A352" i="17"/>
  <c r="H351" i="17"/>
  <c r="F351" i="17"/>
  <c r="D351" i="17"/>
  <c r="B351" i="17"/>
  <c r="A351" i="17"/>
  <c r="H350" i="17"/>
  <c r="F350" i="17"/>
  <c r="D350" i="17"/>
  <c r="B350" i="17"/>
  <c r="A350" i="17"/>
  <c r="H349" i="17"/>
  <c r="F349" i="17"/>
  <c r="D349" i="17"/>
  <c r="B349" i="17"/>
  <c r="A349" i="17"/>
  <c r="H348" i="17"/>
  <c r="F348" i="17"/>
  <c r="D348" i="17"/>
  <c r="B348" i="17"/>
  <c r="A348" i="17"/>
  <c r="H347" i="17"/>
  <c r="F347" i="17"/>
  <c r="D347" i="17"/>
  <c r="B347" i="17"/>
  <c r="A347" i="17"/>
  <c r="H346" i="17"/>
  <c r="F346" i="17"/>
  <c r="D346" i="17"/>
  <c r="B346" i="17"/>
  <c r="A346" i="17"/>
  <c r="H345" i="17"/>
  <c r="F345" i="17"/>
  <c r="D345" i="17"/>
  <c r="B345" i="17"/>
  <c r="A345" i="17"/>
  <c r="H344" i="17"/>
  <c r="F344" i="17"/>
  <c r="D344" i="17"/>
  <c r="B344" i="17"/>
  <c r="A344" i="17"/>
  <c r="H343" i="17"/>
  <c r="F343" i="17"/>
  <c r="D343" i="17"/>
  <c r="B343" i="17"/>
  <c r="A343" i="17"/>
  <c r="H342" i="17"/>
  <c r="F342" i="17"/>
  <c r="D342" i="17"/>
  <c r="B342" i="17"/>
  <c r="A342" i="17"/>
  <c r="H341" i="17"/>
  <c r="F341" i="17"/>
  <c r="D341" i="17"/>
  <c r="B341" i="17"/>
  <c r="A341" i="17"/>
  <c r="H340" i="17"/>
  <c r="F340" i="17"/>
  <c r="D340" i="17"/>
  <c r="B340" i="17"/>
  <c r="A340" i="17"/>
  <c r="H339" i="17"/>
  <c r="F339" i="17"/>
  <c r="D339" i="17"/>
  <c r="B339" i="17"/>
  <c r="A339" i="17"/>
  <c r="H338" i="17"/>
  <c r="F338" i="17"/>
  <c r="D338" i="17"/>
  <c r="B338" i="17"/>
  <c r="A338" i="17"/>
  <c r="H337" i="17"/>
  <c r="F337" i="17"/>
  <c r="D337" i="17"/>
  <c r="B337" i="17"/>
  <c r="A337" i="17"/>
  <c r="H336" i="17"/>
  <c r="F336" i="17"/>
  <c r="D336" i="17"/>
  <c r="B336" i="17"/>
  <c r="A336" i="17"/>
  <c r="H335" i="17"/>
  <c r="F335" i="17"/>
  <c r="D335" i="17"/>
  <c r="B335" i="17"/>
  <c r="A335" i="17"/>
  <c r="H334" i="17"/>
  <c r="F334" i="17"/>
  <c r="D334" i="17"/>
  <c r="B334" i="17"/>
  <c r="A334" i="17"/>
  <c r="H333" i="17"/>
  <c r="F333" i="17"/>
  <c r="D333" i="17"/>
  <c r="B333" i="17"/>
  <c r="A333" i="17"/>
  <c r="H332" i="17"/>
  <c r="F332" i="17"/>
  <c r="D332" i="17"/>
  <c r="B332" i="17"/>
  <c r="A332" i="17"/>
  <c r="H331" i="17"/>
  <c r="F331" i="17"/>
  <c r="D331" i="17"/>
  <c r="B331" i="17"/>
  <c r="A331" i="17"/>
  <c r="H330" i="17"/>
  <c r="F330" i="17"/>
  <c r="D330" i="17"/>
  <c r="B330" i="17"/>
  <c r="A330" i="17"/>
  <c r="H329" i="17"/>
  <c r="F329" i="17"/>
  <c r="D329" i="17"/>
  <c r="B329" i="17"/>
  <c r="A329" i="17"/>
  <c r="H328" i="17"/>
  <c r="F328" i="17"/>
  <c r="D328" i="17"/>
  <c r="B328" i="17"/>
  <c r="A328" i="17"/>
  <c r="H327" i="17"/>
  <c r="F327" i="17"/>
  <c r="D327" i="17"/>
  <c r="B327" i="17"/>
  <c r="A327" i="17"/>
  <c r="H326" i="17"/>
  <c r="F326" i="17"/>
  <c r="D326" i="17"/>
  <c r="B326" i="17"/>
  <c r="A326" i="17"/>
  <c r="H325" i="17"/>
  <c r="F325" i="17"/>
  <c r="D325" i="17"/>
  <c r="B325" i="17"/>
  <c r="A325" i="17"/>
  <c r="H324" i="17"/>
  <c r="F324" i="17"/>
  <c r="D324" i="17"/>
  <c r="B324" i="17"/>
  <c r="A324" i="17"/>
  <c r="H323" i="17"/>
  <c r="F323" i="17"/>
  <c r="D323" i="17"/>
  <c r="B323" i="17"/>
  <c r="A323" i="17"/>
  <c r="H322" i="17"/>
  <c r="F322" i="17"/>
  <c r="D322" i="17"/>
  <c r="B322" i="17"/>
  <c r="A322" i="17"/>
  <c r="H321" i="17"/>
  <c r="F321" i="17"/>
  <c r="D321" i="17"/>
  <c r="B321" i="17"/>
  <c r="A321" i="17"/>
  <c r="H320" i="17"/>
  <c r="F320" i="17"/>
  <c r="D320" i="17"/>
  <c r="B320" i="17"/>
  <c r="A320" i="17"/>
  <c r="H319" i="17"/>
  <c r="F319" i="17"/>
  <c r="D319" i="17"/>
  <c r="B319" i="17"/>
  <c r="A319" i="17"/>
  <c r="H318" i="17"/>
  <c r="F318" i="17"/>
  <c r="D318" i="17"/>
  <c r="B318" i="17"/>
  <c r="A318" i="17"/>
  <c r="H317" i="17"/>
  <c r="F317" i="17"/>
  <c r="D317" i="17"/>
  <c r="B317" i="17"/>
  <c r="A317" i="17"/>
  <c r="H316" i="17"/>
  <c r="F316" i="17"/>
  <c r="D316" i="17"/>
  <c r="B316" i="17"/>
  <c r="A316" i="17"/>
  <c r="H315" i="17"/>
  <c r="F315" i="17"/>
  <c r="D315" i="17"/>
  <c r="B315" i="17"/>
  <c r="A315" i="17"/>
  <c r="H314" i="17"/>
  <c r="F314" i="17"/>
  <c r="D314" i="17"/>
  <c r="B314" i="17"/>
  <c r="A314" i="17"/>
  <c r="H313" i="17"/>
  <c r="F313" i="17"/>
  <c r="D313" i="17"/>
  <c r="B313" i="17"/>
  <c r="A313" i="17"/>
  <c r="H312" i="17"/>
  <c r="F312" i="17"/>
  <c r="D312" i="17"/>
  <c r="B312" i="17"/>
  <c r="A312" i="17"/>
  <c r="H311" i="17"/>
  <c r="F311" i="17"/>
  <c r="D311" i="17"/>
  <c r="B311" i="17"/>
  <c r="A311" i="17"/>
  <c r="H310" i="17"/>
  <c r="F310" i="17"/>
  <c r="D310" i="17"/>
  <c r="B310" i="17"/>
  <c r="A310" i="17"/>
  <c r="H309" i="17"/>
  <c r="F309" i="17"/>
  <c r="D309" i="17"/>
  <c r="B309" i="17"/>
  <c r="A309" i="17"/>
  <c r="H308" i="17"/>
  <c r="F308" i="17"/>
  <c r="D308" i="17"/>
  <c r="B308" i="17"/>
  <c r="A308" i="17"/>
  <c r="H307" i="17"/>
  <c r="F307" i="17"/>
  <c r="D307" i="17"/>
  <c r="B307" i="17"/>
  <c r="A307" i="17"/>
  <c r="H306" i="17"/>
  <c r="F306" i="17"/>
  <c r="D306" i="17"/>
  <c r="B306" i="17"/>
  <c r="A306" i="17"/>
  <c r="H305" i="17"/>
  <c r="F305" i="17"/>
  <c r="D305" i="17"/>
  <c r="B305" i="17"/>
  <c r="A305" i="17"/>
  <c r="H304" i="17"/>
  <c r="F304" i="17"/>
  <c r="D304" i="17"/>
  <c r="B304" i="17"/>
  <c r="A304" i="17"/>
  <c r="H303" i="17"/>
  <c r="F303" i="17"/>
  <c r="D303" i="17"/>
  <c r="B303" i="17"/>
  <c r="A303" i="17"/>
  <c r="H302" i="17"/>
  <c r="F302" i="17"/>
  <c r="D302" i="17"/>
  <c r="B302" i="17"/>
  <c r="A302" i="17"/>
  <c r="H301" i="17"/>
  <c r="F301" i="17"/>
  <c r="D301" i="17"/>
  <c r="B301" i="17"/>
  <c r="A301" i="17"/>
  <c r="H300" i="17"/>
  <c r="F300" i="17"/>
  <c r="D300" i="17"/>
  <c r="B300" i="17"/>
  <c r="A300" i="17"/>
  <c r="H299" i="17"/>
  <c r="F299" i="17"/>
  <c r="D299" i="17"/>
  <c r="B299" i="17"/>
  <c r="A299" i="17"/>
  <c r="H298" i="17"/>
  <c r="F298" i="17"/>
  <c r="D298" i="17"/>
  <c r="B298" i="17"/>
  <c r="A298" i="17"/>
  <c r="H297" i="17"/>
  <c r="F297" i="17"/>
  <c r="D297" i="17"/>
  <c r="B297" i="17"/>
  <c r="A297" i="17"/>
  <c r="H296" i="17"/>
  <c r="F296" i="17"/>
  <c r="D296" i="17"/>
  <c r="B296" i="17"/>
  <c r="A296" i="17"/>
  <c r="H295" i="17"/>
  <c r="F295" i="17"/>
  <c r="D295" i="17"/>
  <c r="B295" i="17"/>
  <c r="A295" i="17"/>
  <c r="H294" i="17"/>
  <c r="F294" i="17"/>
  <c r="D294" i="17"/>
  <c r="B294" i="17"/>
  <c r="A294" i="17"/>
  <c r="H293" i="17"/>
  <c r="F293" i="17"/>
  <c r="D293" i="17"/>
  <c r="B293" i="17"/>
  <c r="A293" i="17"/>
  <c r="H292" i="17"/>
  <c r="F292" i="17"/>
  <c r="D292" i="17"/>
  <c r="B292" i="17"/>
  <c r="A292" i="17"/>
  <c r="H291" i="17"/>
  <c r="F291" i="17"/>
  <c r="D291" i="17"/>
  <c r="B291" i="17"/>
  <c r="A291" i="17"/>
  <c r="H290" i="17"/>
  <c r="F290" i="17"/>
  <c r="D290" i="17"/>
  <c r="B290" i="17"/>
  <c r="A290" i="17"/>
  <c r="H289" i="17"/>
  <c r="F289" i="17"/>
  <c r="D289" i="17"/>
  <c r="B289" i="17"/>
  <c r="A289" i="17"/>
  <c r="H288" i="17"/>
  <c r="F288" i="17"/>
  <c r="D288" i="17"/>
  <c r="B288" i="17"/>
  <c r="A288" i="17"/>
  <c r="H287" i="17"/>
  <c r="F287" i="17"/>
  <c r="D287" i="17"/>
  <c r="B287" i="17"/>
  <c r="A287" i="17"/>
  <c r="H286" i="17"/>
  <c r="F286" i="17"/>
  <c r="D286" i="17"/>
  <c r="B286" i="17"/>
  <c r="A286" i="17"/>
  <c r="H285" i="17"/>
  <c r="F285" i="17"/>
  <c r="D285" i="17"/>
  <c r="B285" i="17"/>
  <c r="A285" i="17"/>
  <c r="H284" i="17"/>
  <c r="F284" i="17"/>
  <c r="D284" i="17"/>
  <c r="B284" i="17"/>
  <c r="A284" i="17"/>
  <c r="H283" i="17"/>
  <c r="F283" i="17"/>
  <c r="D283" i="17"/>
  <c r="B283" i="17"/>
  <c r="A283" i="17"/>
  <c r="H282" i="17"/>
  <c r="F282" i="17"/>
  <c r="D282" i="17"/>
  <c r="B282" i="17"/>
  <c r="A282" i="17"/>
  <c r="H281" i="17"/>
  <c r="F281" i="17"/>
  <c r="D281" i="17"/>
  <c r="B281" i="17"/>
  <c r="A281" i="17"/>
  <c r="H280" i="17"/>
  <c r="F280" i="17"/>
  <c r="D280" i="17"/>
  <c r="B280" i="17"/>
  <c r="A280" i="17"/>
  <c r="H279" i="17"/>
  <c r="F279" i="17"/>
  <c r="D279" i="17"/>
  <c r="B279" i="17"/>
  <c r="A279" i="17"/>
  <c r="H278" i="17"/>
  <c r="F278" i="17"/>
  <c r="D278" i="17"/>
  <c r="B278" i="17"/>
  <c r="A278" i="17"/>
  <c r="H277" i="17"/>
  <c r="F277" i="17"/>
  <c r="D277" i="17"/>
  <c r="B277" i="17"/>
  <c r="A277" i="17"/>
  <c r="H276" i="17"/>
  <c r="F276" i="17"/>
  <c r="D276" i="17"/>
  <c r="B276" i="17"/>
  <c r="A276" i="17"/>
  <c r="H275" i="17"/>
  <c r="F275" i="17"/>
  <c r="D275" i="17"/>
  <c r="B275" i="17"/>
  <c r="A275" i="17"/>
  <c r="H274" i="17"/>
  <c r="F274" i="17"/>
  <c r="D274" i="17"/>
  <c r="B274" i="17"/>
  <c r="A274" i="17"/>
  <c r="H273" i="17"/>
  <c r="F273" i="17"/>
  <c r="D273" i="17"/>
  <c r="B273" i="17"/>
  <c r="A273" i="17"/>
  <c r="H272" i="17"/>
  <c r="F272" i="17"/>
  <c r="D272" i="17"/>
  <c r="B272" i="17"/>
  <c r="A272" i="17"/>
  <c r="H271" i="17"/>
  <c r="F271" i="17"/>
  <c r="D271" i="17"/>
  <c r="B271" i="17"/>
  <c r="A271" i="17"/>
  <c r="H270" i="17"/>
  <c r="F270" i="17"/>
  <c r="D270" i="17"/>
  <c r="B270" i="17"/>
  <c r="A270" i="17"/>
  <c r="H269" i="17"/>
  <c r="F269" i="17"/>
  <c r="D269" i="17"/>
  <c r="B269" i="17"/>
  <c r="A269" i="17"/>
  <c r="H268" i="17"/>
  <c r="F268" i="17"/>
  <c r="D268" i="17"/>
  <c r="B268" i="17"/>
  <c r="A268" i="17"/>
  <c r="H267" i="17"/>
  <c r="F267" i="17"/>
  <c r="D267" i="17"/>
  <c r="B267" i="17"/>
  <c r="A267" i="17"/>
  <c r="H266" i="17"/>
  <c r="F266" i="17"/>
  <c r="D266" i="17"/>
  <c r="B266" i="17"/>
  <c r="A266" i="17"/>
  <c r="H265" i="17"/>
  <c r="F265" i="17"/>
  <c r="D265" i="17"/>
  <c r="B265" i="17"/>
  <c r="A265" i="17"/>
  <c r="H264" i="17"/>
  <c r="F264" i="17"/>
  <c r="D264" i="17"/>
  <c r="B264" i="17"/>
  <c r="A264" i="17"/>
  <c r="H263" i="17"/>
  <c r="F263" i="17"/>
  <c r="D263" i="17"/>
  <c r="B263" i="17"/>
  <c r="A263" i="17"/>
  <c r="H262" i="17"/>
  <c r="F262" i="17"/>
  <c r="D262" i="17"/>
  <c r="B262" i="17"/>
  <c r="A262" i="17"/>
  <c r="H261" i="17"/>
  <c r="F261" i="17"/>
  <c r="D261" i="17"/>
  <c r="B261" i="17"/>
  <c r="A261" i="17"/>
  <c r="H260" i="17"/>
  <c r="F260" i="17"/>
  <c r="D260" i="17"/>
  <c r="B260" i="17"/>
  <c r="A260" i="17"/>
  <c r="H259" i="17"/>
  <c r="F259" i="17"/>
  <c r="D259" i="17"/>
  <c r="B259" i="17"/>
  <c r="A259" i="17"/>
  <c r="H258" i="17"/>
  <c r="F258" i="17"/>
  <c r="D258" i="17"/>
  <c r="B258" i="17"/>
  <c r="A258" i="17"/>
  <c r="H257" i="17"/>
  <c r="F257" i="17"/>
  <c r="D257" i="17"/>
  <c r="B257" i="17"/>
  <c r="A257" i="17"/>
  <c r="H256" i="17"/>
  <c r="F256" i="17"/>
  <c r="D256" i="17"/>
  <c r="B256" i="17"/>
  <c r="A256" i="17"/>
  <c r="H255" i="17"/>
  <c r="F255" i="17"/>
  <c r="D255" i="17"/>
  <c r="B255" i="17"/>
  <c r="A255" i="17"/>
  <c r="H254" i="17"/>
  <c r="F254" i="17"/>
  <c r="D254" i="17"/>
  <c r="B254" i="17"/>
  <c r="A254" i="17"/>
  <c r="H253" i="17"/>
  <c r="F253" i="17"/>
  <c r="D253" i="17"/>
  <c r="B253" i="17"/>
  <c r="A253" i="17"/>
  <c r="H252" i="17"/>
  <c r="F252" i="17"/>
  <c r="D252" i="17"/>
  <c r="B252" i="17"/>
  <c r="A252" i="17"/>
  <c r="H251" i="17"/>
  <c r="F251" i="17"/>
  <c r="D251" i="17"/>
  <c r="B251" i="17"/>
  <c r="A251" i="17"/>
  <c r="H250" i="17"/>
  <c r="F250" i="17"/>
  <c r="D250" i="17"/>
  <c r="B250" i="17"/>
  <c r="A250" i="17"/>
  <c r="H249" i="17"/>
  <c r="F249" i="17"/>
  <c r="D249" i="17"/>
  <c r="B249" i="17"/>
  <c r="A249" i="17"/>
  <c r="H248" i="17"/>
  <c r="F248" i="17"/>
  <c r="D248" i="17"/>
  <c r="B248" i="17"/>
  <c r="A248" i="17"/>
  <c r="H247" i="17"/>
  <c r="F247" i="17"/>
  <c r="D247" i="17"/>
  <c r="B247" i="17"/>
  <c r="A247" i="17"/>
  <c r="H246" i="17"/>
  <c r="F246" i="17"/>
  <c r="D246" i="17"/>
  <c r="B246" i="17"/>
  <c r="A246" i="17"/>
  <c r="H245" i="17"/>
  <c r="F245" i="17"/>
  <c r="D245" i="17"/>
  <c r="B245" i="17"/>
  <c r="A245" i="17"/>
  <c r="H244" i="17"/>
  <c r="F244" i="17"/>
  <c r="D244" i="17"/>
  <c r="B244" i="17"/>
  <c r="A244" i="17"/>
  <c r="H243" i="17"/>
  <c r="F243" i="17"/>
  <c r="D243" i="17"/>
  <c r="B243" i="17"/>
  <c r="A243" i="17"/>
  <c r="H242" i="17"/>
  <c r="F242" i="17"/>
  <c r="D242" i="17"/>
  <c r="B242" i="17"/>
  <c r="A242" i="17"/>
  <c r="H241" i="17"/>
  <c r="F241" i="17"/>
  <c r="D241" i="17"/>
  <c r="B241" i="17"/>
  <c r="A241" i="17"/>
  <c r="H240" i="17"/>
  <c r="F240" i="17"/>
  <c r="D240" i="17"/>
  <c r="B240" i="17"/>
  <c r="A240" i="17"/>
  <c r="H239" i="17"/>
  <c r="F239" i="17"/>
  <c r="D239" i="17"/>
  <c r="B239" i="17"/>
  <c r="A239" i="17"/>
  <c r="H238" i="17"/>
  <c r="F238" i="17"/>
  <c r="D238" i="17"/>
  <c r="B238" i="17"/>
  <c r="A238" i="17"/>
  <c r="H237" i="17"/>
  <c r="F237" i="17"/>
  <c r="D237" i="17"/>
  <c r="B237" i="17"/>
  <c r="A237" i="17"/>
  <c r="H236" i="17"/>
  <c r="F236" i="17"/>
  <c r="D236" i="17"/>
  <c r="B236" i="17"/>
  <c r="A236" i="17"/>
  <c r="H235" i="17"/>
  <c r="F235" i="17"/>
  <c r="D235" i="17"/>
  <c r="B235" i="17"/>
  <c r="A235" i="17"/>
  <c r="H234" i="17"/>
  <c r="F234" i="17"/>
  <c r="D234" i="17"/>
  <c r="B234" i="17"/>
  <c r="A234" i="17"/>
  <c r="H233" i="17"/>
  <c r="F233" i="17"/>
  <c r="D233" i="17"/>
  <c r="B233" i="17"/>
  <c r="A233" i="17"/>
  <c r="H232" i="17"/>
  <c r="F232" i="17"/>
  <c r="D232" i="17"/>
  <c r="B232" i="17"/>
  <c r="A232" i="17"/>
  <c r="H231" i="17"/>
  <c r="F231" i="17"/>
  <c r="D231" i="17"/>
  <c r="B231" i="17"/>
  <c r="A231" i="17"/>
  <c r="H230" i="17"/>
  <c r="F230" i="17"/>
  <c r="D230" i="17"/>
  <c r="B230" i="17"/>
  <c r="A230" i="17"/>
  <c r="H229" i="17"/>
  <c r="F229" i="17"/>
  <c r="D229" i="17"/>
  <c r="B229" i="17"/>
  <c r="A229" i="17"/>
  <c r="H228" i="17"/>
  <c r="F228" i="17"/>
  <c r="D228" i="17"/>
  <c r="B228" i="17"/>
  <c r="A228" i="17"/>
  <c r="H227" i="17"/>
  <c r="F227" i="17"/>
  <c r="D227" i="17"/>
  <c r="B227" i="17"/>
  <c r="A227" i="17"/>
  <c r="H226" i="17"/>
  <c r="F226" i="17"/>
  <c r="D226" i="17"/>
  <c r="B226" i="17"/>
  <c r="A226" i="17"/>
  <c r="H225" i="17"/>
  <c r="F225" i="17"/>
  <c r="D225" i="17"/>
  <c r="B225" i="17"/>
  <c r="A225" i="17"/>
  <c r="H224" i="17"/>
  <c r="F224" i="17"/>
  <c r="D224" i="17"/>
  <c r="B224" i="17"/>
  <c r="A224" i="17"/>
  <c r="H223" i="17"/>
  <c r="F223" i="17"/>
  <c r="D223" i="17"/>
  <c r="B223" i="17"/>
  <c r="A223" i="17"/>
  <c r="H222" i="17"/>
  <c r="F222" i="17"/>
  <c r="D222" i="17"/>
  <c r="B222" i="17"/>
  <c r="A222" i="17"/>
  <c r="H221" i="17"/>
  <c r="F221" i="17"/>
  <c r="D221" i="17"/>
  <c r="B221" i="17"/>
  <c r="A221" i="17"/>
  <c r="H220" i="17"/>
  <c r="F220" i="17"/>
  <c r="D220" i="17"/>
  <c r="B220" i="17"/>
  <c r="A220" i="17"/>
  <c r="H219" i="17"/>
  <c r="F219" i="17"/>
  <c r="D219" i="17"/>
  <c r="B219" i="17"/>
  <c r="A219" i="17"/>
  <c r="H218" i="17"/>
  <c r="F218" i="17"/>
  <c r="D218" i="17"/>
  <c r="B218" i="17"/>
  <c r="A218" i="17"/>
  <c r="H217" i="17"/>
  <c r="F217" i="17"/>
  <c r="D217" i="17"/>
  <c r="B217" i="17"/>
  <c r="A217" i="17"/>
  <c r="H216" i="17"/>
  <c r="F216" i="17"/>
  <c r="D216" i="17"/>
  <c r="B216" i="17"/>
  <c r="A216" i="17"/>
  <c r="H215" i="17"/>
  <c r="F215" i="17"/>
  <c r="D215" i="17"/>
  <c r="B215" i="17"/>
  <c r="A215" i="17"/>
  <c r="H214" i="17"/>
  <c r="F214" i="17"/>
  <c r="D214" i="17"/>
  <c r="B214" i="17"/>
  <c r="A214" i="17"/>
  <c r="H213" i="17"/>
  <c r="F213" i="17"/>
  <c r="D213" i="17"/>
  <c r="B213" i="17"/>
  <c r="A213" i="17"/>
  <c r="H212" i="17"/>
  <c r="F212" i="17"/>
  <c r="D212" i="17"/>
  <c r="B212" i="17"/>
  <c r="A212" i="17"/>
  <c r="H211" i="17"/>
  <c r="F211" i="17"/>
  <c r="D211" i="17"/>
  <c r="B211" i="17"/>
  <c r="A211" i="17"/>
  <c r="H210" i="17"/>
  <c r="F210" i="17"/>
  <c r="D210" i="17"/>
  <c r="B210" i="17"/>
  <c r="A210" i="17"/>
  <c r="H209" i="17"/>
  <c r="F209" i="17"/>
  <c r="D209" i="17"/>
  <c r="B209" i="17"/>
  <c r="A209" i="17"/>
  <c r="H208" i="17"/>
  <c r="F208" i="17"/>
  <c r="D208" i="17"/>
  <c r="B208" i="17"/>
  <c r="A208" i="17"/>
  <c r="H207" i="17"/>
  <c r="F207" i="17"/>
  <c r="D207" i="17"/>
  <c r="B207" i="17"/>
  <c r="A207" i="17"/>
  <c r="H206" i="17"/>
  <c r="F206" i="17"/>
  <c r="D206" i="17"/>
  <c r="B206" i="17"/>
  <c r="A206" i="17"/>
  <c r="H205" i="17"/>
  <c r="F205" i="17"/>
  <c r="D205" i="17"/>
  <c r="B205" i="17"/>
  <c r="A205" i="17"/>
  <c r="H204" i="17"/>
  <c r="F204" i="17"/>
  <c r="D204" i="17"/>
  <c r="B204" i="17"/>
  <c r="A204" i="17"/>
  <c r="H203" i="17"/>
  <c r="F203" i="17"/>
  <c r="D203" i="17"/>
  <c r="B203" i="17"/>
  <c r="A203" i="17"/>
  <c r="H202" i="17"/>
  <c r="F202" i="17"/>
  <c r="D202" i="17"/>
  <c r="B202" i="17"/>
  <c r="A202" i="17"/>
  <c r="H201" i="17"/>
  <c r="F201" i="17"/>
  <c r="D201" i="17"/>
  <c r="B201" i="17"/>
  <c r="A201" i="17"/>
  <c r="H200" i="17"/>
  <c r="F200" i="17"/>
  <c r="D200" i="17"/>
  <c r="B200" i="17"/>
  <c r="A200" i="17"/>
  <c r="H199" i="17"/>
  <c r="F199" i="17"/>
  <c r="D199" i="17"/>
  <c r="B199" i="17"/>
  <c r="A199" i="17"/>
  <c r="H198" i="17"/>
  <c r="F198" i="17"/>
  <c r="D198" i="17"/>
  <c r="B198" i="17"/>
  <c r="A198" i="17"/>
  <c r="H197" i="17"/>
  <c r="F197" i="17"/>
  <c r="D197" i="17"/>
  <c r="B197" i="17"/>
  <c r="A197" i="17"/>
  <c r="H196" i="17"/>
  <c r="F196" i="17"/>
  <c r="D196" i="17"/>
  <c r="B196" i="17"/>
  <c r="A196" i="17"/>
  <c r="H195" i="17"/>
  <c r="F195" i="17"/>
  <c r="D195" i="17"/>
  <c r="B195" i="17"/>
  <c r="A195" i="17"/>
  <c r="H194" i="17"/>
  <c r="F194" i="17"/>
  <c r="D194" i="17"/>
  <c r="B194" i="17"/>
  <c r="A194" i="17"/>
  <c r="H193" i="17"/>
  <c r="F193" i="17"/>
  <c r="D193" i="17"/>
  <c r="B193" i="17"/>
  <c r="A193" i="17"/>
  <c r="H192" i="17"/>
  <c r="F192" i="17"/>
  <c r="D192" i="17"/>
  <c r="B192" i="17"/>
  <c r="A192" i="17"/>
  <c r="H191" i="17"/>
  <c r="F191" i="17"/>
  <c r="D191" i="17"/>
  <c r="B191" i="17"/>
  <c r="A191" i="17"/>
  <c r="H190" i="17"/>
  <c r="F190" i="17"/>
  <c r="D190" i="17"/>
  <c r="B190" i="17"/>
  <c r="A190" i="17"/>
  <c r="H189" i="17"/>
  <c r="F189" i="17"/>
  <c r="D189" i="17"/>
  <c r="B189" i="17"/>
  <c r="A189" i="17"/>
  <c r="H188" i="17"/>
  <c r="F188" i="17"/>
  <c r="D188" i="17"/>
  <c r="B188" i="17"/>
  <c r="A188" i="17"/>
  <c r="H187" i="17"/>
  <c r="F187" i="17"/>
  <c r="D187" i="17"/>
  <c r="B187" i="17"/>
  <c r="A187" i="17"/>
  <c r="H186" i="17"/>
  <c r="F186" i="17"/>
  <c r="D186" i="17"/>
  <c r="B186" i="17"/>
  <c r="A186" i="17"/>
  <c r="H185" i="17"/>
  <c r="F185" i="17"/>
  <c r="D185" i="17"/>
  <c r="B185" i="17"/>
  <c r="A185" i="17"/>
  <c r="H184" i="17"/>
  <c r="F184" i="17"/>
  <c r="D184" i="17"/>
  <c r="B184" i="17"/>
  <c r="A184" i="17"/>
  <c r="H183" i="17"/>
  <c r="F183" i="17"/>
  <c r="D183" i="17"/>
  <c r="B183" i="17"/>
  <c r="A183" i="17"/>
  <c r="H182" i="17"/>
  <c r="F182" i="17"/>
  <c r="D182" i="17"/>
  <c r="B182" i="17"/>
  <c r="A182" i="17"/>
  <c r="H181" i="17"/>
  <c r="F181" i="17"/>
  <c r="D181" i="17"/>
  <c r="B181" i="17"/>
  <c r="A181" i="17"/>
  <c r="H180" i="17"/>
  <c r="F180" i="17"/>
  <c r="D180" i="17"/>
  <c r="B180" i="17"/>
  <c r="A180" i="17"/>
  <c r="H179" i="17"/>
  <c r="F179" i="17"/>
  <c r="D179" i="17"/>
  <c r="B179" i="17"/>
  <c r="A179" i="17"/>
  <c r="H178" i="17"/>
  <c r="F178" i="17"/>
  <c r="D178" i="17"/>
  <c r="B178" i="17"/>
  <c r="A178" i="17"/>
  <c r="H177" i="17"/>
  <c r="F177" i="17"/>
  <c r="D177" i="17"/>
  <c r="B177" i="17"/>
  <c r="A177" i="17"/>
  <c r="H176" i="17"/>
  <c r="F176" i="17"/>
  <c r="D176" i="17"/>
  <c r="B176" i="17"/>
  <c r="A176" i="17"/>
  <c r="H175" i="17"/>
  <c r="F175" i="17"/>
  <c r="D175" i="17"/>
  <c r="B175" i="17"/>
  <c r="A175" i="17"/>
  <c r="H174" i="17"/>
  <c r="F174" i="17"/>
  <c r="D174" i="17"/>
  <c r="B174" i="17"/>
  <c r="A174" i="17"/>
  <c r="H173" i="17"/>
  <c r="F173" i="17"/>
  <c r="D173" i="17"/>
  <c r="B173" i="17"/>
  <c r="A173" i="17"/>
  <c r="H172" i="17"/>
  <c r="F172" i="17"/>
  <c r="D172" i="17"/>
  <c r="B172" i="17"/>
  <c r="A172" i="17"/>
  <c r="H171" i="17"/>
  <c r="F171" i="17"/>
  <c r="D171" i="17"/>
  <c r="B171" i="17"/>
  <c r="A171" i="17"/>
  <c r="H170" i="17"/>
  <c r="F170" i="17"/>
  <c r="D170" i="17"/>
  <c r="B170" i="17"/>
  <c r="A170" i="17"/>
  <c r="H169" i="17"/>
  <c r="F169" i="17"/>
  <c r="D169" i="17"/>
  <c r="B169" i="17"/>
  <c r="A169" i="17"/>
  <c r="H168" i="17"/>
  <c r="F168" i="17"/>
  <c r="D168" i="17"/>
  <c r="B168" i="17"/>
  <c r="A168" i="17"/>
  <c r="H167" i="17"/>
  <c r="F167" i="17"/>
  <c r="D167" i="17"/>
  <c r="B167" i="17"/>
  <c r="A167" i="17"/>
  <c r="H166" i="17"/>
  <c r="F166" i="17"/>
  <c r="D166" i="17"/>
  <c r="B166" i="17"/>
  <c r="A166" i="17"/>
  <c r="H165" i="17"/>
  <c r="F165" i="17"/>
  <c r="D165" i="17"/>
  <c r="B165" i="17"/>
  <c r="A165" i="17"/>
  <c r="H164" i="17"/>
  <c r="F164" i="17"/>
  <c r="D164" i="17"/>
  <c r="B164" i="17"/>
  <c r="A164" i="17"/>
  <c r="H163" i="17"/>
  <c r="F163" i="17"/>
  <c r="D163" i="17"/>
  <c r="B163" i="17"/>
  <c r="A163" i="17"/>
  <c r="H162" i="17"/>
  <c r="F162" i="17"/>
  <c r="D162" i="17"/>
  <c r="B162" i="17"/>
  <c r="A162" i="17"/>
  <c r="H161" i="17"/>
  <c r="F161" i="17"/>
  <c r="D161" i="17"/>
  <c r="B161" i="17"/>
  <c r="A161" i="17"/>
  <c r="H160" i="17"/>
  <c r="F160" i="17"/>
  <c r="D160" i="17"/>
  <c r="B160" i="17"/>
  <c r="A160" i="17"/>
  <c r="H159" i="17"/>
  <c r="F159" i="17"/>
  <c r="D159" i="17"/>
  <c r="B159" i="17"/>
  <c r="A159" i="17"/>
  <c r="H158" i="17"/>
  <c r="F158" i="17"/>
  <c r="D158" i="17"/>
  <c r="B158" i="17"/>
  <c r="A158" i="17"/>
  <c r="H157" i="17"/>
  <c r="F157" i="17"/>
  <c r="D157" i="17"/>
  <c r="B157" i="17"/>
  <c r="A157" i="17"/>
  <c r="H156" i="17"/>
  <c r="F156" i="17"/>
  <c r="D156" i="17"/>
  <c r="B156" i="17"/>
  <c r="A156" i="17"/>
  <c r="H155" i="17"/>
  <c r="F155" i="17"/>
  <c r="D155" i="17"/>
  <c r="B155" i="17"/>
  <c r="A155" i="17"/>
  <c r="H154" i="17"/>
  <c r="F154" i="17"/>
  <c r="D154" i="17"/>
  <c r="B154" i="17"/>
  <c r="A154" i="17"/>
  <c r="H153" i="17"/>
  <c r="F153" i="17"/>
  <c r="D153" i="17"/>
  <c r="B153" i="17"/>
  <c r="A153" i="17"/>
  <c r="H152" i="17"/>
  <c r="F152" i="17"/>
  <c r="D152" i="17"/>
  <c r="B152" i="17"/>
  <c r="A152" i="17"/>
  <c r="H151" i="17"/>
  <c r="F151" i="17"/>
  <c r="D151" i="17"/>
  <c r="B151" i="17"/>
  <c r="A151" i="17"/>
  <c r="H150" i="17"/>
  <c r="F150" i="17"/>
  <c r="D150" i="17"/>
  <c r="B150" i="17"/>
  <c r="A150" i="17"/>
  <c r="H149" i="17"/>
  <c r="F149" i="17"/>
  <c r="D149" i="17"/>
  <c r="B149" i="17"/>
  <c r="A149" i="17"/>
  <c r="H148" i="17"/>
  <c r="F148" i="17"/>
  <c r="D148" i="17"/>
  <c r="B148" i="17"/>
  <c r="A148" i="17"/>
  <c r="H147" i="17"/>
  <c r="F147" i="17"/>
  <c r="D147" i="17"/>
  <c r="B147" i="17"/>
  <c r="A147" i="17"/>
  <c r="H146" i="17"/>
  <c r="F146" i="17"/>
  <c r="D146" i="17"/>
  <c r="B146" i="17"/>
  <c r="A146" i="17"/>
  <c r="H145" i="17"/>
  <c r="F145" i="17"/>
  <c r="D145" i="17"/>
  <c r="B145" i="17"/>
  <c r="A145" i="17"/>
  <c r="H144" i="17"/>
  <c r="F144" i="17"/>
  <c r="D144" i="17"/>
  <c r="B144" i="17"/>
  <c r="A144" i="17"/>
  <c r="H143" i="17"/>
  <c r="F143" i="17"/>
  <c r="D143" i="17"/>
  <c r="B143" i="17"/>
  <c r="A143" i="17"/>
  <c r="H142" i="17"/>
  <c r="F142" i="17"/>
  <c r="D142" i="17"/>
  <c r="B142" i="17"/>
  <c r="A142" i="17"/>
  <c r="H141" i="17"/>
  <c r="F141" i="17"/>
  <c r="D141" i="17"/>
  <c r="B141" i="17"/>
  <c r="A141" i="17"/>
  <c r="H140" i="17"/>
  <c r="F140" i="17"/>
  <c r="D140" i="17"/>
  <c r="B140" i="17"/>
  <c r="A140" i="17"/>
  <c r="H139" i="17"/>
  <c r="F139" i="17"/>
  <c r="D139" i="17"/>
  <c r="B139" i="17"/>
  <c r="A139" i="17"/>
  <c r="H138" i="17"/>
  <c r="F138" i="17"/>
  <c r="D138" i="17"/>
  <c r="B138" i="17"/>
  <c r="A138" i="17"/>
  <c r="H137" i="17"/>
  <c r="F137" i="17"/>
  <c r="D137" i="17"/>
  <c r="B137" i="17"/>
  <c r="A137" i="17"/>
  <c r="H136" i="17"/>
  <c r="F136" i="17"/>
  <c r="D136" i="17"/>
  <c r="B136" i="17"/>
  <c r="A136" i="17"/>
  <c r="H135" i="17"/>
  <c r="F135" i="17"/>
  <c r="D135" i="17"/>
  <c r="B135" i="17"/>
  <c r="A135" i="17"/>
  <c r="H134" i="17"/>
  <c r="F134" i="17"/>
  <c r="D134" i="17"/>
  <c r="B134" i="17"/>
  <c r="A134" i="17"/>
  <c r="H133" i="17"/>
  <c r="F133" i="17"/>
  <c r="D133" i="17"/>
  <c r="B133" i="17"/>
  <c r="A133" i="17"/>
  <c r="H132" i="17"/>
  <c r="F132" i="17"/>
  <c r="D132" i="17"/>
  <c r="B132" i="17"/>
  <c r="A132" i="17"/>
  <c r="H131" i="17"/>
  <c r="F131" i="17"/>
  <c r="D131" i="17"/>
  <c r="B131" i="17"/>
  <c r="A131" i="17"/>
  <c r="H130" i="17"/>
  <c r="F130" i="17"/>
  <c r="D130" i="17"/>
  <c r="B130" i="17"/>
  <c r="A130" i="17"/>
  <c r="H129" i="17"/>
  <c r="F129" i="17"/>
  <c r="D129" i="17"/>
  <c r="B129" i="17"/>
  <c r="A129" i="17"/>
  <c r="H128" i="17"/>
  <c r="F128" i="17"/>
  <c r="D128" i="17"/>
  <c r="B128" i="17"/>
  <c r="A128" i="17"/>
  <c r="H127" i="17"/>
  <c r="F127" i="17"/>
  <c r="D127" i="17"/>
  <c r="B127" i="17"/>
  <c r="A127" i="17"/>
  <c r="H126" i="17"/>
  <c r="F126" i="17"/>
  <c r="D126" i="17"/>
  <c r="B126" i="17"/>
  <c r="A126" i="17"/>
  <c r="H125" i="17"/>
  <c r="F125" i="17"/>
  <c r="D125" i="17"/>
  <c r="B125" i="17"/>
  <c r="A125" i="17"/>
  <c r="H124" i="17"/>
  <c r="F124" i="17"/>
  <c r="D124" i="17"/>
  <c r="B124" i="17"/>
  <c r="A124" i="17"/>
  <c r="H123" i="17"/>
  <c r="F123" i="17"/>
  <c r="D123" i="17"/>
  <c r="B123" i="17"/>
  <c r="A123" i="17"/>
  <c r="H122" i="17"/>
  <c r="F122" i="17"/>
  <c r="D122" i="17"/>
  <c r="B122" i="17"/>
  <c r="A122" i="17"/>
  <c r="H121" i="17"/>
  <c r="F121" i="17"/>
  <c r="D121" i="17"/>
  <c r="B121" i="17"/>
  <c r="A121" i="17"/>
  <c r="H120" i="17"/>
  <c r="F120" i="17"/>
  <c r="D120" i="17"/>
  <c r="B120" i="17"/>
  <c r="A120" i="17"/>
  <c r="H119" i="17"/>
  <c r="F119" i="17"/>
  <c r="D119" i="17"/>
  <c r="B119" i="17"/>
  <c r="A119" i="17"/>
  <c r="H118" i="17"/>
  <c r="F118" i="17"/>
  <c r="D118" i="17"/>
  <c r="B118" i="17"/>
  <c r="A118" i="17"/>
  <c r="H117" i="17"/>
  <c r="F117" i="17"/>
  <c r="D117" i="17"/>
  <c r="B117" i="17"/>
  <c r="A117" i="17"/>
  <c r="H116" i="17"/>
  <c r="F116" i="17"/>
  <c r="D116" i="17"/>
  <c r="B116" i="17"/>
  <c r="A116" i="17"/>
  <c r="H115" i="17"/>
  <c r="F115" i="17"/>
  <c r="D115" i="17"/>
  <c r="B115" i="17"/>
  <c r="A115" i="17"/>
  <c r="H114" i="17"/>
  <c r="F114" i="17"/>
  <c r="D114" i="17"/>
  <c r="B114" i="17"/>
  <c r="A114" i="17"/>
  <c r="H113" i="17"/>
  <c r="F113" i="17"/>
  <c r="D113" i="17"/>
  <c r="B113" i="17"/>
  <c r="A113" i="17"/>
  <c r="H112" i="17"/>
  <c r="F112" i="17"/>
  <c r="D112" i="17"/>
  <c r="B112" i="17"/>
  <c r="A112" i="17"/>
  <c r="H111" i="17"/>
  <c r="F111" i="17"/>
  <c r="D111" i="17"/>
  <c r="B111" i="17"/>
  <c r="A111" i="17"/>
  <c r="H110" i="17"/>
  <c r="F110" i="17"/>
  <c r="D110" i="17"/>
  <c r="B110" i="17"/>
  <c r="A110" i="17"/>
  <c r="H109" i="17"/>
  <c r="F109" i="17"/>
  <c r="D109" i="17"/>
  <c r="B109" i="17"/>
  <c r="A109" i="17"/>
  <c r="H108" i="17"/>
  <c r="F108" i="17"/>
  <c r="D108" i="17"/>
  <c r="B108" i="17"/>
  <c r="A108" i="17"/>
  <c r="H107" i="17"/>
  <c r="F107" i="17"/>
  <c r="D107" i="17"/>
  <c r="B107" i="17"/>
  <c r="A107" i="17"/>
  <c r="H106" i="17"/>
  <c r="F106" i="17"/>
  <c r="D106" i="17"/>
  <c r="B106" i="17"/>
  <c r="A106" i="17"/>
  <c r="H105" i="17"/>
  <c r="F105" i="17"/>
  <c r="D105" i="17"/>
  <c r="B105" i="17"/>
  <c r="A105" i="17"/>
  <c r="H104" i="17"/>
  <c r="F104" i="17"/>
  <c r="D104" i="17"/>
  <c r="B104" i="17"/>
  <c r="A104" i="17"/>
  <c r="H103" i="17"/>
  <c r="F103" i="17"/>
  <c r="D103" i="17"/>
  <c r="B103" i="17"/>
  <c r="A103" i="17"/>
  <c r="H102" i="17"/>
  <c r="F102" i="17"/>
  <c r="D102" i="17"/>
  <c r="B102" i="17"/>
  <c r="A102" i="17"/>
  <c r="H101" i="17"/>
  <c r="F101" i="17"/>
  <c r="D101" i="17"/>
  <c r="B101" i="17"/>
  <c r="A101" i="17"/>
  <c r="H100" i="17"/>
  <c r="F100" i="17"/>
  <c r="D100" i="17"/>
  <c r="B100" i="17"/>
  <c r="A100" i="17"/>
  <c r="H99" i="17"/>
  <c r="F99" i="17"/>
  <c r="D99" i="17"/>
  <c r="B99" i="17"/>
  <c r="A99" i="17"/>
  <c r="H98" i="17"/>
  <c r="F98" i="17"/>
  <c r="D98" i="17"/>
  <c r="B98" i="17"/>
  <c r="A98" i="17"/>
  <c r="H97" i="17"/>
  <c r="F97" i="17"/>
  <c r="D97" i="17"/>
  <c r="B97" i="17"/>
  <c r="A97" i="17"/>
  <c r="H96" i="17"/>
  <c r="F96" i="17"/>
  <c r="D96" i="17"/>
  <c r="B96" i="17"/>
  <c r="A96" i="17"/>
  <c r="H95" i="17"/>
  <c r="F95" i="17"/>
  <c r="D95" i="17"/>
  <c r="B95" i="17"/>
  <c r="A95" i="17"/>
  <c r="H94" i="17"/>
  <c r="F94" i="17"/>
  <c r="D94" i="17"/>
  <c r="B94" i="17"/>
  <c r="A94" i="17"/>
  <c r="H93" i="17"/>
  <c r="F93" i="17"/>
  <c r="D93" i="17"/>
  <c r="B93" i="17"/>
  <c r="A93" i="17"/>
  <c r="H92" i="17"/>
  <c r="F92" i="17"/>
  <c r="D92" i="17"/>
  <c r="B92" i="17"/>
  <c r="A92" i="17"/>
  <c r="H91" i="17"/>
  <c r="F91" i="17"/>
  <c r="D91" i="17"/>
  <c r="B91" i="17"/>
  <c r="A91" i="17"/>
  <c r="H90" i="17"/>
  <c r="F90" i="17"/>
  <c r="D90" i="17"/>
  <c r="B90" i="17"/>
  <c r="A90" i="17"/>
  <c r="H89" i="17"/>
  <c r="F89" i="17"/>
  <c r="D89" i="17"/>
  <c r="B89" i="17"/>
  <c r="A89" i="17"/>
  <c r="H88" i="17"/>
  <c r="F88" i="17"/>
  <c r="D88" i="17"/>
  <c r="B88" i="17"/>
  <c r="A88" i="17"/>
  <c r="H87" i="17"/>
  <c r="F87" i="17"/>
  <c r="D87" i="17"/>
  <c r="B87" i="17"/>
  <c r="A87" i="17"/>
  <c r="H86" i="17"/>
  <c r="F86" i="17"/>
  <c r="D86" i="17"/>
  <c r="B86" i="17"/>
  <c r="A86" i="17"/>
  <c r="H85" i="17"/>
  <c r="F85" i="17"/>
  <c r="D85" i="17"/>
  <c r="B85" i="17"/>
  <c r="A85" i="17"/>
  <c r="H84" i="17"/>
  <c r="F84" i="17"/>
  <c r="D84" i="17"/>
  <c r="B84" i="17"/>
  <c r="A84" i="17"/>
  <c r="H83" i="17"/>
  <c r="F83" i="17"/>
  <c r="D83" i="17"/>
  <c r="B83" i="17"/>
  <c r="A83" i="17"/>
  <c r="H82" i="17"/>
  <c r="F82" i="17"/>
  <c r="D82" i="17"/>
  <c r="B82" i="17"/>
  <c r="A82" i="17"/>
  <c r="H81" i="17"/>
  <c r="F81" i="17"/>
  <c r="D81" i="17"/>
  <c r="B81" i="17"/>
  <c r="A81" i="17"/>
  <c r="H80" i="17"/>
  <c r="F80" i="17"/>
  <c r="D80" i="17"/>
  <c r="B80" i="17"/>
  <c r="A80" i="17"/>
  <c r="H79" i="17"/>
  <c r="F79" i="17"/>
  <c r="D79" i="17"/>
  <c r="B79" i="17"/>
  <c r="A79" i="17"/>
  <c r="H78" i="17"/>
  <c r="F78" i="17"/>
  <c r="D78" i="17"/>
  <c r="B78" i="17"/>
  <c r="A78" i="17"/>
  <c r="H77" i="17"/>
  <c r="F77" i="17"/>
  <c r="D77" i="17"/>
  <c r="B77" i="17"/>
  <c r="A77" i="17"/>
  <c r="H76" i="17"/>
  <c r="F76" i="17"/>
  <c r="D76" i="17"/>
  <c r="B76" i="17"/>
  <c r="A76" i="17"/>
  <c r="H75" i="17"/>
  <c r="F75" i="17"/>
  <c r="D75" i="17"/>
  <c r="B75" i="17"/>
  <c r="A75" i="17"/>
  <c r="H74" i="17"/>
  <c r="F74" i="17"/>
  <c r="D74" i="17"/>
  <c r="B74" i="17"/>
  <c r="A74" i="17"/>
  <c r="H73" i="17"/>
  <c r="F73" i="17"/>
  <c r="D73" i="17"/>
  <c r="B73" i="17"/>
  <c r="A73" i="17"/>
  <c r="H72" i="17"/>
  <c r="F72" i="17"/>
  <c r="D72" i="17"/>
  <c r="B72" i="17"/>
  <c r="A72" i="17"/>
  <c r="H71" i="17"/>
  <c r="F71" i="17"/>
  <c r="D71" i="17"/>
  <c r="B71" i="17"/>
  <c r="A71" i="17"/>
  <c r="H70" i="17"/>
  <c r="F70" i="17"/>
  <c r="D70" i="17"/>
  <c r="B70" i="17"/>
  <c r="A70" i="17"/>
  <c r="H69" i="17"/>
  <c r="F69" i="17"/>
  <c r="D69" i="17"/>
  <c r="B69" i="17"/>
  <c r="A69" i="17"/>
  <c r="H68" i="17"/>
  <c r="F68" i="17"/>
  <c r="D68" i="17"/>
  <c r="B68" i="17"/>
  <c r="A68" i="17"/>
  <c r="H67" i="17"/>
  <c r="F67" i="17"/>
  <c r="D67" i="17"/>
  <c r="B67" i="17"/>
  <c r="A67" i="17"/>
  <c r="H66" i="17"/>
  <c r="F66" i="17"/>
  <c r="D66" i="17"/>
  <c r="B66" i="17"/>
  <c r="A66" i="17"/>
  <c r="H65" i="17"/>
  <c r="F65" i="17"/>
  <c r="D65" i="17"/>
  <c r="B65" i="17"/>
  <c r="A65" i="17"/>
  <c r="H64" i="17"/>
  <c r="F64" i="17"/>
  <c r="D64" i="17"/>
  <c r="B64" i="17"/>
  <c r="A64" i="17"/>
  <c r="H63" i="17"/>
  <c r="F63" i="17"/>
  <c r="D63" i="17"/>
  <c r="B63" i="17"/>
  <c r="A63" i="17"/>
  <c r="H62" i="17"/>
  <c r="F62" i="17"/>
  <c r="D62" i="17"/>
  <c r="B62" i="17"/>
  <c r="A62" i="17"/>
  <c r="H61" i="17"/>
  <c r="F61" i="17"/>
  <c r="D61" i="17"/>
  <c r="B61" i="17"/>
  <c r="A61" i="17"/>
  <c r="H60" i="17"/>
  <c r="F60" i="17"/>
  <c r="D60" i="17"/>
  <c r="B60" i="17"/>
  <c r="A60" i="17"/>
  <c r="H59" i="17"/>
  <c r="F59" i="17"/>
  <c r="D59" i="17"/>
  <c r="B59" i="17"/>
  <c r="A59" i="17"/>
  <c r="H58" i="17"/>
  <c r="F58" i="17"/>
  <c r="D58" i="17"/>
  <c r="B58" i="17"/>
  <c r="A58" i="17"/>
  <c r="H57" i="17"/>
  <c r="F57" i="17"/>
  <c r="D57" i="17"/>
  <c r="B57" i="17"/>
  <c r="A57" i="17"/>
  <c r="H56" i="17"/>
  <c r="F56" i="17"/>
  <c r="D56" i="17"/>
  <c r="B56" i="17"/>
  <c r="A56" i="17"/>
  <c r="H55" i="17"/>
  <c r="F55" i="17"/>
  <c r="D55" i="17"/>
  <c r="B55" i="17"/>
  <c r="A55" i="17"/>
  <c r="H54" i="17"/>
  <c r="F54" i="17"/>
  <c r="D54" i="17"/>
  <c r="B54" i="17"/>
  <c r="A54" i="17"/>
  <c r="H53" i="17"/>
  <c r="F53" i="17"/>
  <c r="D53" i="17"/>
  <c r="B53" i="17"/>
  <c r="A53" i="17"/>
  <c r="H52" i="17"/>
  <c r="F52" i="17"/>
  <c r="D52" i="17"/>
  <c r="B52" i="17"/>
  <c r="A52" i="17"/>
  <c r="H51" i="17"/>
  <c r="F51" i="17"/>
  <c r="D51" i="17"/>
  <c r="B51" i="17"/>
  <c r="A51" i="17"/>
  <c r="H50" i="17"/>
  <c r="F50" i="17"/>
  <c r="D50" i="17"/>
  <c r="B50" i="17"/>
  <c r="A50" i="17"/>
  <c r="H49" i="17"/>
  <c r="F49" i="17"/>
  <c r="D49" i="17"/>
  <c r="B49" i="17"/>
  <c r="A49" i="17"/>
  <c r="H48" i="17"/>
  <c r="F48" i="17"/>
  <c r="D48" i="17"/>
  <c r="B48" i="17"/>
  <c r="A48" i="17"/>
  <c r="H47" i="17"/>
  <c r="F47" i="17"/>
  <c r="D47" i="17"/>
  <c r="B47" i="17"/>
  <c r="A47" i="17"/>
  <c r="H46" i="17"/>
  <c r="F46" i="17"/>
  <c r="D46" i="17"/>
  <c r="B46" i="17"/>
  <c r="A46" i="17"/>
  <c r="H45" i="17"/>
  <c r="F45" i="17"/>
  <c r="D45" i="17"/>
  <c r="B45" i="17"/>
  <c r="A45" i="17"/>
  <c r="H44" i="17"/>
  <c r="F44" i="17"/>
  <c r="D44" i="17"/>
  <c r="B44" i="17"/>
  <c r="A44" i="17"/>
  <c r="H43" i="17"/>
  <c r="F43" i="17"/>
  <c r="D43" i="17"/>
  <c r="B43" i="17"/>
  <c r="A43" i="17"/>
  <c r="H42" i="17"/>
  <c r="F42" i="17"/>
  <c r="D42" i="17"/>
  <c r="B42" i="17"/>
  <c r="A42" i="17"/>
  <c r="H41" i="17"/>
  <c r="F41" i="17"/>
  <c r="D41" i="17"/>
  <c r="B41" i="17"/>
  <c r="A41" i="17"/>
  <c r="H40" i="17"/>
  <c r="F40" i="17"/>
  <c r="D40" i="17"/>
  <c r="B40" i="17"/>
  <c r="A40" i="17"/>
  <c r="H39" i="17"/>
  <c r="F39" i="17"/>
  <c r="D39" i="17"/>
  <c r="B39" i="17"/>
  <c r="A39" i="17"/>
  <c r="H38" i="17"/>
  <c r="F38" i="17"/>
  <c r="D38" i="17"/>
  <c r="B38" i="17"/>
  <c r="A38" i="17"/>
  <c r="H37" i="17"/>
  <c r="F37" i="17"/>
  <c r="D37" i="17"/>
  <c r="B37" i="17"/>
  <c r="A37" i="17"/>
  <c r="H36" i="17"/>
  <c r="F36" i="17"/>
  <c r="D36" i="17"/>
  <c r="B36" i="17"/>
  <c r="A36" i="17"/>
  <c r="H35" i="17"/>
  <c r="F35" i="17"/>
  <c r="D35" i="17"/>
  <c r="B35" i="17"/>
  <c r="A35" i="17"/>
  <c r="H34" i="17"/>
  <c r="F34" i="17"/>
  <c r="D34" i="17"/>
  <c r="B34" i="17"/>
  <c r="A34" i="17"/>
  <c r="H33" i="17"/>
  <c r="F33" i="17"/>
  <c r="D33" i="17"/>
  <c r="B33" i="17"/>
  <c r="A33" i="17"/>
  <c r="H32" i="17"/>
  <c r="F32" i="17"/>
  <c r="D32" i="17"/>
  <c r="B32" i="17"/>
  <c r="A32" i="17"/>
  <c r="H31" i="17"/>
  <c r="F31" i="17"/>
  <c r="D31" i="17"/>
  <c r="B31" i="17"/>
  <c r="A31" i="17"/>
  <c r="H30" i="17"/>
  <c r="F30" i="17"/>
  <c r="D30" i="17"/>
  <c r="B30" i="17"/>
  <c r="A30" i="17"/>
  <c r="H29" i="17"/>
  <c r="F29" i="17"/>
  <c r="D29" i="17"/>
  <c r="B29" i="17"/>
  <c r="A29" i="17"/>
  <c r="H28" i="17"/>
  <c r="F28" i="17"/>
  <c r="D28" i="17"/>
  <c r="B28" i="17"/>
  <c r="A28" i="17"/>
  <c r="H27" i="17"/>
  <c r="F27" i="17"/>
  <c r="D27" i="17"/>
  <c r="B27" i="17"/>
  <c r="A27" i="17"/>
  <c r="H26" i="17"/>
  <c r="F26" i="17"/>
  <c r="D26" i="17"/>
  <c r="B26" i="17"/>
  <c r="A26" i="17"/>
  <c r="H25" i="17"/>
  <c r="F25" i="17"/>
  <c r="D25" i="17"/>
  <c r="B25" i="17"/>
  <c r="A25" i="17"/>
  <c r="H24" i="17"/>
  <c r="F24" i="17"/>
  <c r="D24" i="17"/>
  <c r="B24" i="17"/>
  <c r="A24" i="17"/>
  <c r="H23" i="17"/>
  <c r="F23" i="17"/>
  <c r="D23" i="17"/>
  <c r="B23" i="17"/>
  <c r="A23" i="17"/>
  <c r="H22" i="17"/>
  <c r="F22" i="17"/>
  <c r="D22" i="17"/>
  <c r="B22" i="17"/>
  <c r="A22" i="17"/>
  <c r="H21" i="17"/>
  <c r="F21" i="17"/>
  <c r="D21" i="17"/>
  <c r="B21" i="17"/>
  <c r="A21" i="17"/>
  <c r="H20" i="17"/>
  <c r="F20" i="17"/>
  <c r="D20" i="17"/>
  <c r="B20" i="17"/>
  <c r="A20" i="17"/>
  <c r="H19" i="17"/>
  <c r="F19" i="17"/>
  <c r="D19" i="17"/>
  <c r="B19" i="17"/>
  <c r="A19" i="17"/>
  <c r="H18" i="17"/>
  <c r="F18" i="17"/>
  <c r="D18" i="17"/>
  <c r="B18" i="17"/>
  <c r="A18" i="17"/>
  <c r="H17" i="17"/>
  <c r="F17" i="17"/>
  <c r="D17" i="17"/>
  <c r="B17" i="17"/>
  <c r="A17" i="17"/>
  <c r="H16" i="17"/>
  <c r="F16" i="17"/>
  <c r="D16" i="17"/>
  <c r="B16" i="17"/>
  <c r="A16" i="17"/>
  <c r="H15" i="17"/>
  <c r="F15" i="17"/>
  <c r="D15" i="17"/>
  <c r="B15" i="17"/>
  <c r="A15" i="17"/>
  <c r="H14" i="17"/>
  <c r="F14" i="17"/>
  <c r="D14" i="17"/>
  <c r="B14" i="17"/>
  <c r="A14" i="17"/>
  <c r="H13" i="17"/>
  <c r="F13" i="17"/>
  <c r="D13" i="17"/>
  <c r="B13" i="17"/>
  <c r="A13" i="17"/>
  <c r="H12" i="17"/>
  <c r="F12" i="17"/>
  <c r="D12" i="17"/>
  <c r="B12" i="17"/>
  <c r="A12" i="17"/>
  <c r="H11" i="17"/>
  <c r="F11" i="17"/>
  <c r="D11" i="17"/>
  <c r="B11" i="17"/>
  <c r="A11" i="17"/>
  <c r="H10" i="17"/>
  <c r="F10" i="17"/>
  <c r="D10" i="17"/>
  <c r="B10" i="17"/>
  <c r="A10" i="17"/>
  <c r="H9" i="17"/>
  <c r="F9" i="17"/>
  <c r="D9" i="17"/>
  <c r="B9" i="17"/>
  <c r="A9" i="17"/>
  <c r="H8" i="17"/>
  <c r="F8" i="17"/>
  <c r="D8" i="17"/>
  <c r="B8" i="17"/>
  <c r="A8" i="17"/>
  <c r="H7" i="17"/>
  <c r="F7" i="17"/>
  <c r="D7" i="17"/>
  <c r="B7" i="17"/>
  <c r="A7" i="17"/>
  <c r="H6" i="17"/>
  <c r="F6" i="17"/>
  <c r="D6" i="17"/>
  <c r="B6" i="17"/>
  <c r="A6" i="17"/>
  <c r="H5" i="17"/>
  <c r="F5" i="17"/>
  <c r="D5" i="17"/>
  <c r="B5" i="17"/>
  <c r="A5" i="17"/>
  <c r="H4" i="17"/>
  <c r="F4" i="17"/>
  <c r="D4" i="17"/>
  <c r="B4" i="17"/>
  <c r="A4" i="17"/>
  <c r="B3" i="17"/>
  <c r="A3" i="17"/>
  <c r="H3" i="17"/>
  <c r="F3" i="25"/>
  <c r="D3" i="25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7" i="12"/>
  <c r="S108" i="14" l="1"/>
  <c r="S107" i="14"/>
  <c r="S105" i="14"/>
  <c r="S104" i="14"/>
  <c r="S103" i="14"/>
  <c r="S102" i="14"/>
  <c r="S101" i="14"/>
  <c r="S99" i="14"/>
  <c r="S98" i="14"/>
  <c r="S97" i="14"/>
  <c r="S96" i="14"/>
  <c r="S95" i="14"/>
  <c r="S94" i="14"/>
  <c r="S93" i="14"/>
  <c r="S88" i="14"/>
  <c r="S87" i="14"/>
  <c r="S85" i="14"/>
  <c r="S84" i="14"/>
  <c r="S83" i="14"/>
  <c r="S82" i="14"/>
  <c r="S81" i="14"/>
  <c r="S79" i="14"/>
  <c r="S78" i="14"/>
  <c r="S77" i="14"/>
  <c r="S76" i="14"/>
  <c r="S75" i="14"/>
  <c r="S74" i="14"/>
  <c r="S73" i="14"/>
  <c r="S68" i="14"/>
  <c r="S67" i="14"/>
  <c r="S66" i="14"/>
  <c r="S65" i="14"/>
  <c r="S64" i="14"/>
  <c r="S62" i="14"/>
  <c r="S61" i="14"/>
  <c r="S60" i="14"/>
  <c r="S57" i="14"/>
  <c r="S56" i="14"/>
  <c r="S55" i="14"/>
  <c r="S54" i="14"/>
  <c r="S52" i="14"/>
  <c r="S50" i="14"/>
  <c r="S48" i="14"/>
  <c r="S47" i="14"/>
  <c r="S46" i="14"/>
  <c r="S45" i="14"/>
  <c r="S44" i="14"/>
  <c r="S43" i="14"/>
  <c r="S41" i="14"/>
  <c r="S40" i="14"/>
  <c r="S37" i="14"/>
  <c r="S36" i="14"/>
  <c r="S35" i="14"/>
  <c r="S34" i="14"/>
  <c r="S32" i="14"/>
  <c r="S31" i="14"/>
  <c r="S29" i="14"/>
  <c r="S28" i="14"/>
  <c r="S27" i="14"/>
  <c r="S26" i="14"/>
  <c r="S25" i="14"/>
  <c r="S24" i="14"/>
  <c r="S22" i="14"/>
  <c r="S21" i="14"/>
  <c r="S20" i="14"/>
  <c r="S18" i="14"/>
  <c r="S17" i="14"/>
  <c r="S16" i="14"/>
  <c r="S14" i="14"/>
  <c r="S13" i="14"/>
  <c r="S12" i="14"/>
  <c r="S11" i="14"/>
  <c r="S10" i="14"/>
  <c r="S8" i="14"/>
  <c r="S7" i="14"/>
  <c r="S6" i="14"/>
  <c r="S119" i="13"/>
  <c r="S118" i="13"/>
  <c r="S117" i="13"/>
  <c r="S116" i="13"/>
  <c r="S115" i="13"/>
  <c r="S113" i="13"/>
  <c r="S112" i="13"/>
  <c r="S111" i="13"/>
  <c r="S110" i="13"/>
  <c r="S109" i="13"/>
  <c r="S108" i="13"/>
  <c r="S106" i="13"/>
  <c r="S105" i="13"/>
  <c r="S104" i="13"/>
  <c r="S103" i="13"/>
  <c r="S102" i="13"/>
  <c r="S101" i="13"/>
  <c r="S100" i="13"/>
  <c r="S99" i="13"/>
  <c r="S98" i="13"/>
  <c r="S97" i="13"/>
  <c r="S96" i="13"/>
  <c r="S95" i="13"/>
  <c r="S94" i="13"/>
  <c r="S93" i="13"/>
  <c r="S92" i="13"/>
  <c r="S91" i="13"/>
  <c r="S79" i="13"/>
  <c r="S78" i="13"/>
  <c r="S77" i="13"/>
  <c r="S76" i="13"/>
  <c r="S75" i="13"/>
  <c r="S73" i="13"/>
  <c r="S72" i="13"/>
  <c r="S71" i="13"/>
  <c r="S70" i="13"/>
  <c r="S69" i="13"/>
  <c r="S68" i="13"/>
  <c r="S66" i="13"/>
  <c r="S65" i="13"/>
  <c r="S64" i="13"/>
  <c r="S63" i="13"/>
  <c r="S62" i="13"/>
  <c r="S61" i="13"/>
  <c r="S60" i="13"/>
  <c r="S59" i="13"/>
  <c r="S58" i="13"/>
  <c r="S57" i="13"/>
  <c r="S56" i="13"/>
  <c r="S55" i="13"/>
  <c r="S54" i="13"/>
  <c r="S53" i="13"/>
  <c r="S52" i="13"/>
  <c r="S51" i="13"/>
  <c r="S39" i="13"/>
  <c r="S38" i="13"/>
  <c r="S37" i="13"/>
  <c r="S36" i="13"/>
  <c r="S35" i="13"/>
  <c r="S33" i="13"/>
  <c r="S32" i="13"/>
  <c r="S31" i="13"/>
  <c r="S30" i="13"/>
  <c r="S29" i="13"/>
  <c r="S28" i="13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B3" i="25" l="1"/>
  <c r="F3" i="17"/>
  <c r="D3" i="17"/>
  <c r="W108" i="14" l="1"/>
  <c r="V108" i="14"/>
  <c r="U108" i="14"/>
  <c r="R108" i="14"/>
  <c r="Q108" i="14"/>
  <c r="P108" i="14"/>
  <c r="O108" i="14"/>
  <c r="N108" i="14"/>
  <c r="M108" i="14"/>
  <c r="H108" i="14"/>
  <c r="F108" i="14"/>
  <c r="W107" i="14"/>
  <c r="V107" i="14"/>
  <c r="U107" i="14"/>
  <c r="R107" i="14"/>
  <c r="Q107" i="14"/>
  <c r="P107" i="14"/>
  <c r="O107" i="14"/>
  <c r="N107" i="14"/>
  <c r="M107" i="14"/>
  <c r="H107" i="14"/>
  <c r="F107" i="14"/>
  <c r="W105" i="14"/>
  <c r="V105" i="14"/>
  <c r="U105" i="14"/>
  <c r="R105" i="14"/>
  <c r="Q105" i="14"/>
  <c r="P105" i="14"/>
  <c r="O105" i="14"/>
  <c r="N105" i="14"/>
  <c r="M105" i="14"/>
  <c r="H105" i="14"/>
  <c r="F105" i="14"/>
  <c r="W104" i="14"/>
  <c r="V104" i="14"/>
  <c r="U104" i="14"/>
  <c r="R104" i="14"/>
  <c r="Q104" i="14"/>
  <c r="P104" i="14"/>
  <c r="O104" i="14"/>
  <c r="N104" i="14"/>
  <c r="M104" i="14"/>
  <c r="H104" i="14"/>
  <c r="F104" i="14"/>
  <c r="W103" i="14"/>
  <c r="V103" i="14"/>
  <c r="U103" i="14"/>
  <c r="R103" i="14"/>
  <c r="Q103" i="14"/>
  <c r="P103" i="14"/>
  <c r="O103" i="14"/>
  <c r="N103" i="14"/>
  <c r="M103" i="14"/>
  <c r="H103" i="14"/>
  <c r="F103" i="14"/>
  <c r="W102" i="14"/>
  <c r="V102" i="14"/>
  <c r="U102" i="14"/>
  <c r="R102" i="14"/>
  <c r="Q102" i="14"/>
  <c r="P102" i="14"/>
  <c r="O102" i="14"/>
  <c r="N102" i="14"/>
  <c r="M102" i="14"/>
  <c r="H102" i="14"/>
  <c r="F102" i="14"/>
  <c r="W101" i="14"/>
  <c r="V101" i="14"/>
  <c r="U101" i="14"/>
  <c r="R101" i="14"/>
  <c r="Q101" i="14"/>
  <c r="P101" i="14"/>
  <c r="O101" i="14"/>
  <c r="N101" i="14"/>
  <c r="M101" i="14"/>
  <c r="H101" i="14"/>
  <c r="F101" i="14"/>
  <c r="W99" i="14"/>
  <c r="V99" i="14"/>
  <c r="U99" i="14"/>
  <c r="R99" i="14"/>
  <c r="Q99" i="14"/>
  <c r="P99" i="14"/>
  <c r="O99" i="14"/>
  <c r="N99" i="14"/>
  <c r="M99" i="14"/>
  <c r="H99" i="14"/>
  <c r="F99" i="14"/>
  <c r="W98" i="14"/>
  <c r="V98" i="14"/>
  <c r="U98" i="14"/>
  <c r="R98" i="14"/>
  <c r="Q98" i="14"/>
  <c r="P98" i="14"/>
  <c r="O98" i="14"/>
  <c r="N98" i="14"/>
  <c r="M98" i="14"/>
  <c r="H98" i="14"/>
  <c r="F98" i="14"/>
  <c r="W97" i="14"/>
  <c r="V97" i="14"/>
  <c r="U97" i="14"/>
  <c r="R97" i="14"/>
  <c r="Q97" i="14"/>
  <c r="P97" i="14"/>
  <c r="O97" i="14"/>
  <c r="N97" i="14"/>
  <c r="M97" i="14"/>
  <c r="H97" i="14"/>
  <c r="F97" i="14"/>
  <c r="W96" i="14"/>
  <c r="V96" i="14"/>
  <c r="U96" i="14"/>
  <c r="R96" i="14"/>
  <c r="Q96" i="14"/>
  <c r="P96" i="14"/>
  <c r="O96" i="14"/>
  <c r="N96" i="14"/>
  <c r="M96" i="14"/>
  <c r="H96" i="14"/>
  <c r="F96" i="14"/>
  <c r="W95" i="14"/>
  <c r="V95" i="14"/>
  <c r="U95" i="14"/>
  <c r="R95" i="14"/>
  <c r="Q95" i="14"/>
  <c r="P95" i="14"/>
  <c r="O95" i="14"/>
  <c r="N95" i="14"/>
  <c r="M95" i="14"/>
  <c r="H95" i="14"/>
  <c r="F95" i="14"/>
  <c r="W94" i="14"/>
  <c r="V94" i="14"/>
  <c r="U94" i="14"/>
  <c r="R94" i="14"/>
  <c r="Q94" i="14"/>
  <c r="P94" i="14"/>
  <c r="O94" i="14"/>
  <c r="N94" i="14"/>
  <c r="M94" i="14"/>
  <c r="H94" i="14"/>
  <c r="F94" i="14"/>
  <c r="W93" i="14"/>
  <c r="V93" i="14"/>
  <c r="U93" i="14"/>
  <c r="R93" i="14"/>
  <c r="Q93" i="14"/>
  <c r="P93" i="14"/>
  <c r="O93" i="14"/>
  <c r="N93" i="14"/>
  <c r="M93" i="14"/>
  <c r="H93" i="14"/>
  <c r="F93" i="14"/>
  <c r="W88" i="14"/>
  <c r="V88" i="14"/>
  <c r="U88" i="14"/>
  <c r="R88" i="14"/>
  <c r="Q88" i="14"/>
  <c r="P88" i="14"/>
  <c r="O88" i="14"/>
  <c r="N88" i="14"/>
  <c r="M88" i="14"/>
  <c r="H88" i="14"/>
  <c r="F88" i="14"/>
  <c r="W87" i="14"/>
  <c r="V87" i="14"/>
  <c r="U87" i="14"/>
  <c r="R87" i="14"/>
  <c r="Q87" i="14"/>
  <c r="P87" i="14"/>
  <c r="O87" i="14"/>
  <c r="N87" i="14"/>
  <c r="M87" i="14"/>
  <c r="H87" i="14"/>
  <c r="F87" i="14"/>
  <c r="W85" i="14"/>
  <c r="V85" i="14"/>
  <c r="U85" i="14"/>
  <c r="R85" i="14"/>
  <c r="Q85" i="14"/>
  <c r="P85" i="14"/>
  <c r="O85" i="14"/>
  <c r="N85" i="14"/>
  <c r="M85" i="14"/>
  <c r="H85" i="14"/>
  <c r="F85" i="14"/>
  <c r="W84" i="14"/>
  <c r="V84" i="14"/>
  <c r="U84" i="14"/>
  <c r="R84" i="14"/>
  <c r="Q84" i="14"/>
  <c r="P84" i="14"/>
  <c r="O84" i="14"/>
  <c r="N84" i="14"/>
  <c r="M84" i="14"/>
  <c r="H84" i="14"/>
  <c r="F84" i="14"/>
  <c r="W83" i="14"/>
  <c r="V83" i="14"/>
  <c r="U83" i="14"/>
  <c r="R83" i="14"/>
  <c r="Q83" i="14"/>
  <c r="P83" i="14"/>
  <c r="O83" i="14"/>
  <c r="N83" i="14"/>
  <c r="M83" i="14"/>
  <c r="H83" i="14"/>
  <c r="F83" i="14"/>
  <c r="W82" i="14"/>
  <c r="V82" i="14"/>
  <c r="U82" i="14"/>
  <c r="R82" i="14"/>
  <c r="Q82" i="14"/>
  <c r="P82" i="14"/>
  <c r="O82" i="14"/>
  <c r="N82" i="14"/>
  <c r="M82" i="14"/>
  <c r="H82" i="14"/>
  <c r="F82" i="14"/>
  <c r="W81" i="14"/>
  <c r="V81" i="14"/>
  <c r="U81" i="14"/>
  <c r="R81" i="14"/>
  <c r="Q81" i="14"/>
  <c r="P81" i="14"/>
  <c r="O81" i="14"/>
  <c r="N81" i="14"/>
  <c r="M81" i="14"/>
  <c r="H81" i="14"/>
  <c r="F81" i="14"/>
  <c r="W79" i="14"/>
  <c r="V79" i="14"/>
  <c r="U79" i="14"/>
  <c r="R79" i="14"/>
  <c r="Q79" i="14"/>
  <c r="P79" i="14"/>
  <c r="O79" i="14"/>
  <c r="N79" i="14"/>
  <c r="M79" i="14"/>
  <c r="H79" i="14"/>
  <c r="F79" i="14"/>
  <c r="W78" i="14"/>
  <c r="V78" i="14"/>
  <c r="U78" i="14"/>
  <c r="R78" i="14"/>
  <c r="Q78" i="14"/>
  <c r="P78" i="14"/>
  <c r="O78" i="14"/>
  <c r="N78" i="14"/>
  <c r="M78" i="14"/>
  <c r="H78" i="14"/>
  <c r="F78" i="14"/>
  <c r="W77" i="14"/>
  <c r="V77" i="14"/>
  <c r="U77" i="14"/>
  <c r="R77" i="14"/>
  <c r="Q77" i="14"/>
  <c r="P77" i="14"/>
  <c r="O77" i="14"/>
  <c r="N77" i="14"/>
  <c r="M77" i="14"/>
  <c r="H77" i="14"/>
  <c r="F77" i="14"/>
  <c r="W76" i="14"/>
  <c r="V76" i="14"/>
  <c r="U76" i="14"/>
  <c r="R76" i="14"/>
  <c r="Q76" i="14"/>
  <c r="P76" i="14"/>
  <c r="O76" i="14"/>
  <c r="N76" i="14"/>
  <c r="M76" i="14"/>
  <c r="H76" i="14"/>
  <c r="F76" i="14"/>
  <c r="W75" i="14"/>
  <c r="V75" i="14"/>
  <c r="U75" i="14"/>
  <c r="R75" i="14"/>
  <c r="Q75" i="14"/>
  <c r="P75" i="14"/>
  <c r="O75" i="14"/>
  <c r="N75" i="14"/>
  <c r="M75" i="14"/>
  <c r="H75" i="14"/>
  <c r="F75" i="14"/>
  <c r="W74" i="14"/>
  <c r="V74" i="14"/>
  <c r="U74" i="14"/>
  <c r="R74" i="14"/>
  <c r="Q74" i="14"/>
  <c r="P74" i="14"/>
  <c r="O74" i="14"/>
  <c r="N74" i="14"/>
  <c r="M74" i="14"/>
  <c r="H74" i="14"/>
  <c r="F74" i="14"/>
  <c r="W73" i="14"/>
  <c r="V73" i="14"/>
  <c r="U73" i="14"/>
  <c r="R73" i="14"/>
  <c r="Q73" i="14"/>
  <c r="P73" i="14"/>
  <c r="O73" i="14"/>
  <c r="N73" i="14"/>
  <c r="M73" i="14"/>
  <c r="H73" i="14"/>
  <c r="F73" i="14"/>
  <c r="W68" i="14"/>
  <c r="V68" i="14"/>
  <c r="U68" i="14"/>
  <c r="R68" i="14"/>
  <c r="Q68" i="14"/>
  <c r="P68" i="14"/>
  <c r="O68" i="14"/>
  <c r="N68" i="14"/>
  <c r="M68" i="14"/>
  <c r="F68" i="14"/>
  <c r="W67" i="14"/>
  <c r="V67" i="14"/>
  <c r="U67" i="14"/>
  <c r="R67" i="14"/>
  <c r="Q67" i="14"/>
  <c r="P67" i="14"/>
  <c r="O67" i="14"/>
  <c r="N67" i="14"/>
  <c r="M67" i="14"/>
  <c r="F67" i="14"/>
  <c r="W66" i="14"/>
  <c r="V66" i="14"/>
  <c r="U66" i="14"/>
  <c r="R66" i="14"/>
  <c r="Q66" i="14"/>
  <c r="P66" i="14"/>
  <c r="O66" i="14"/>
  <c r="N66" i="14"/>
  <c r="M66" i="14"/>
  <c r="F66" i="14"/>
  <c r="W65" i="14"/>
  <c r="V65" i="14"/>
  <c r="U65" i="14"/>
  <c r="R65" i="14"/>
  <c r="Q65" i="14"/>
  <c r="P65" i="14"/>
  <c r="O65" i="14"/>
  <c r="N65" i="14"/>
  <c r="M65" i="14"/>
  <c r="F65" i="14"/>
  <c r="W64" i="14"/>
  <c r="V64" i="14"/>
  <c r="U64" i="14"/>
  <c r="R64" i="14"/>
  <c r="Q64" i="14"/>
  <c r="P64" i="14"/>
  <c r="O64" i="14"/>
  <c r="N64" i="14"/>
  <c r="M64" i="14"/>
  <c r="F64" i="14"/>
  <c r="W62" i="14"/>
  <c r="V62" i="14"/>
  <c r="U62" i="14"/>
  <c r="R62" i="14"/>
  <c r="Q62" i="14"/>
  <c r="P62" i="14"/>
  <c r="O62" i="14"/>
  <c r="N62" i="14"/>
  <c r="M62" i="14"/>
  <c r="F62" i="14"/>
  <c r="W61" i="14"/>
  <c r="V61" i="14"/>
  <c r="U61" i="14"/>
  <c r="R61" i="14"/>
  <c r="Q61" i="14"/>
  <c r="P61" i="14"/>
  <c r="O61" i="14"/>
  <c r="N61" i="14"/>
  <c r="M61" i="14"/>
  <c r="F61" i="14"/>
  <c r="W60" i="14"/>
  <c r="V60" i="14"/>
  <c r="U60" i="14"/>
  <c r="R60" i="14"/>
  <c r="Q60" i="14"/>
  <c r="P60" i="14"/>
  <c r="O60" i="14"/>
  <c r="N60" i="14"/>
  <c r="M60" i="14"/>
  <c r="F60" i="14"/>
  <c r="W57" i="14"/>
  <c r="V57" i="14"/>
  <c r="U57" i="14"/>
  <c r="R57" i="14"/>
  <c r="Q57" i="14"/>
  <c r="P57" i="14"/>
  <c r="O57" i="14"/>
  <c r="N57" i="14"/>
  <c r="M57" i="14"/>
  <c r="F57" i="14"/>
  <c r="W56" i="14"/>
  <c r="V56" i="14"/>
  <c r="U56" i="14"/>
  <c r="R56" i="14"/>
  <c r="Q56" i="14"/>
  <c r="P56" i="14"/>
  <c r="O56" i="14"/>
  <c r="N56" i="14"/>
  <c r="M56" i="14"/>
  <c r="F56" i="14"/>
  <c r="W55" i="14"/>
  <c r="V55" i="14"/>
  <c r="U55" i="14"/>
  <c r="R55" i="14"/>
  <c r="Q55" i="14"/>
  <c r="P55" i="14"/>
  <c r="O55" i="14"/>
  <c r="N55" i="14"/>
  <c r="M55" i="14"/>
  <c r="F55" i="14"/>
  <c r="W54" i="14"/>
  <c r="V54" i="14"/>
  <c r="U54" i="14"/>
  <c r="R54" i="14"/>
  <c r="Q54" i="14"/>
  <c r="P54" i="14"/>
  <c r="O54" i="14"/>
  <c r="N54" i="14"/>
  <c r="M54" i="14"/>
  <c r="F54" i="14"/>
  <c r="W52" i="14"/>
  <c r="V52" i="14"/>
  <c r="U52" i="14"/>
  <c r="R52" i="14"/>
  <c r="Q52" i="14"/>
  <c r="P52" i="14"/>
  <c r="O52" i="14"/>
  <c r="N52" i="14"/>
  <c r="M52" i="14"/>
  <c r="F52" i="14"/>
  <c r="W50" i="14"/>
  <c r="V50" i="14"/>
  <c r="U50" i="14"/>
  <c r="R50" i="14"/>
  <c r="Q50" i="14"/>
  <c r="P50" i="14"/>
  <c r="O50" i="14"/>
  <c r="N50" i="14"/>
  <c r="M50" i="14"/>
  <c r="F50" i="14"/>
  <c r="W48" i="14"/>
  <c r="V48" i="14"/>
  <c r="U48" i="14"/>
  <c r="R48" i="14"/>
  <c r="Q48" i="14"/>
  <c r="P48" i="14"/>
  <c r="O48" i="14"/>
  <c r="N48" i="14"/>
  <c r="M48" i="14"/>
  <c r="F48" i="14"/>
  <c r="W47" i="14"/>
  <c r="V47" i="14"/>
  <c r="U47" i="14"/>
  <c r="R47" i="14"/>
  <c r="Q47" i="14"/>
  <c r="P47" i="14"/>
  <c r="O47" i="14"/>
  <c r="N47" i="14"/>
  <c r="M47" i="14"/>
  <c r="F47" i="14"/>
  <c r="W46" i="14"/>
  <c r="V46" i="14"/>
  <c r="U46" i="14"/>
  <c r="R46" i="14"/>
  <c r="Q46" i="14"/>
  <c r="P46" i="14"/>
  <c r="O46" i="14"/>
  <c r="N46" i="14"/>
  <c r="M46" i="14"/>
  <c r="F46" i="14"/>
  <c r="W45" i="14"/>
  <c r="V45" i="14"/>
  <c r="U45" i="14"/>
  <c r="R45" i="14"/>
  <c r="Q45" i="14"/>
  <c r="P45" i="14"/>
  <c r="O45" i="14"/>
  <c r="N45" i="14"/>
  <c r="M45" i="14"/>
  <c r="F45" i="14"/>
  <c r="W44" i="14"/>
  <c r="V44" i="14"/>
  <c r="U44" i="14"/>
  <c r="R44" i="14"/>
  <c r="Q44" i="14"/>
  <c r="P44" i="14"/>
  <c r="O44" i="14"/>
  <c r="N44" i="14"/>
  <c r="M44" i="14"/>
  <c r="F44" i="14"/>
  <c r="W43" i="14"/>
  <c r="V43" i="14"/>
  <c r="U43" i="14"/>
  <c r="R43" i="14"/>
  <c r="Q43" i="14"/>
  <c r="P43" i="14"/>
  <c r="O43" i="14"/>
  <c r="N43" i="14"/>
  <c r="M43" i="14"/>
  <c r="F43" i="14"/>
  <c r="W41" i="14"/>
  <c r="V41" i="14"/>
  <c r="U41" i="14"/>
  <c r="R41" i="14"/>
  <c r="Q41" i="14"/>
  <c r="P41" i="14"/>
  <c r="O41" i="14"/>
  <c r="N41" i="14"/>
  <c r="M41" i="14"/>
  <c r="F41" i="14"/>
  <c r="W40" i="14"/>
  <c r="V40" i="14"/>
  <c r="U40" i="14"/>
  <c r="R40" i="14"/>
  <c r="Q40" i="14"/>
  <c r="P40" i="14"/>
  <c r="O40" i="14"/>
  <c r="N40" i="14"/>
  <c r="M40" i="14"/>
  <c r="F40" i="14"/>
  <c r="W37" i="14"/>
  <c r="V37" i="14"/>
  <c r="U37" i="14"/>
  <c r="R37" i="14"/>
  <c r="Q37" i="14"/>
  <c r="P37" i="14"/>
  <c r="O37" i="14"/>
  <c r="N37" i="14"/>
  <c r="M37" i="14"/>
  <c r="F37" i="14"/>
  <c r="W36" i="14"/>
  <c r="V36" i="14"/>
  <c r="U36" i="14"/>
  <c r="R36" i="14"/>
  <c r="Q36" i="14"/>
  <c r="P36" i="14"/>
  <c r="O36" i="14"/>
  <c r="N36" i="14"/>
  <c r="M36" i="14"/>
  <c r="F36" i="14"/>
  <c r="W35" i="14"/>
  <c r="V35" i="14"/>
  <c r="U35" i="14"/>
  <c r="R35" i="14"/>
  <c r="Q35" i="14"/>
  <c r="P35" i="14"/>
  <c r="O35" i="14"/>
  <c r="N35" i="14"/>
  <c r="M35" i="14"/>
  <c r="F35" i="14"/>
  <c r="W34" i="14"/>
  <c r="V34" i="14"/>
  <c r="U34" i="14"/>
  <c r="R34" i="14"/>
  <c r="Q34" i="14"/>
  <c r="P34" i="14"/>
  <c r="O34" i="14"/>
  <c r="N34" i="14"/>
  <c r="M34" i="14"/>
  <c r="F34" i="14"/>
  <c r="W32" i="14"/>
  <c r="V32" i="14"/>
  <c r="U32" i="14"/>
  <c r="R32" i="14"/>
  <c r="Q32" i="14"/>
  <c r="P32" i="14"/>
  <c r="O32" i="14"/>
  <c r="N32" i="14"/>
  <c r="M32" i="14"/>
  <c r="F32" i="14"/>
  <c r="W31" i="14"/>
  <c r="V31" i="14"/>
  <c r="U31" i="14"/>
  <c r="R31" i="14"/>
  <c r="Q31" i="14"/>
  <c r="P31" i="14"/>
  <c r="O31" i="14"/>
  <c r="N31" i="14"/>
  <c r="M31" i="14"/>
  <c r="F31" i="14"/>
  <c r="W29" i="14"/>
  <c r="V29" i="14"/>
  <c r="U29" i="14"/>
  <c r="R29" i="14"/>
  <c r="Q29" i="14"/>
  <c r="P29" i="14"/>
  <c r="O29" i="14"/>
  <c r="N29" i="14"/>
  <c r="M29" i="14"/>
  <c r="F29" i="14"/>
  <c r="W28" i="14"/>
  <c r="V28" i="14"/>
  <c r="U28" i="14"/>
  <c r="R28" i="14"/>
  <c r="Q28" i="14"/>
  <c r="P28" i="14"/>
  <c r="O28" i="14"/>
  <c r="N28" i="14"/>
  <c r="M28" i="14"/>
  <c r="F28" i="14"/>
  <c r="W27" i="14"/>
  <c r="V27" i="14"/>
  <c r="U27" i="14"/>
  <c r="R27" i="14"/>
  <c r="Q27" i="14"/>
  <c r="P27" i="14"/>
  <c r="O27" i="14"/>
  <c r="N27" i="14"/>
  <c r="M27" i="14"/>
  <c r="F27" i="14"/>
  <c r="W26" i="14"/>
  <c r="V26" i="14"/>
  <c r="U26" i="14"/>
  <c r="R26" i="14"/>
  <c r="Q26" i="14"/>
  <c r="P26" i="14"/>
  <c r="O26" i="14"/>
  <c r="N26" i="14"/>
  <c r="M26" i="14"/>
  <c r="F26" i="14"/>
  <c r="W25" i="14"/>
  <c r="V25" i="14"/>
  <c r="U25" i="14"/>
  <c r="R25" i="14"/>
  <c r="Q25" i="14"/>
  <c r="P25" i="14"/>
  <c r="O25" i="14"/>
  <c r="N25" i="14"/>
  <c r="M25" i="14"/>
  <c r="F25" i="14"/>
  <c r="W24" i="14"/>
  <c r="V24" i="14"/>
  <c r="U24" i="14"/>
  <c r="R24" i="14"/>
  <c r="Q24" i="14"/>
  <c r="P24" i="14"/>
  <c r="O24" i="14"/>
  <c r="N24" i="14"/>
  <c r="M24" i="14"/>
  <c r="F24" i="14"/>
  <c r="W22" i="14"/>
  <c r="V22" i="14"/>
  <c r="U22" i="14"/>
  <c r="R22" i="14"/>
  <c r="Q22" i="14"/>
  <c r="P22" i="14"/>
  <c r="O22" i="14"/>
  <c r="N22" i="14"/>
  <c r="M22" i="14"/>
  <c r="F22" i="14"/>
  <c r="W21" i="14"/>
  <c r="V21" i="14"/>
  <c r="U21" i="14"/>
  <c r="R21" i="14"/>
  <c r="Q21" i="14"/>
  <c r="P21" i="14"/>
  <c r="O21" i="14"/>
  <c r="N21" i="14"/>
  <c r="M21" i="14"/>
  <c r="F21" i="14"/>
  <c r="W20" i="14"/>
  <c r="V20" i="14"/>
  <c r="U20" i="14"/>
  <c r="R20" i="14"/>
  <c r="Q20" i="14"/>
  <c r="P20" i="14"/>
  <c r="O20" i="14"/>
  <c r="N20" i="14"/>
  <c r="M20" i="14"/>
  <c r="F20" i="14"/>
  <c r="W18" i="14"/>
  <c r="V18" i="14"/>
  <c r="U18" i="14"/>
  <c r="R18" i="14"/>
  <c r="Q18" i="14"/>
  <c r="P18" i="14"/>
  <c r="O18" i="14"/>
  <c r="N18" i="14"/>
  <c r="M18" i="14"/>
  <c r="F18" i="14"/>
  <c r="W17" i="14"/>
  <c r="V17" i="14"/>
  <c r="U17" i="14"/>
  <c r="R17" i="14"/>
  <c r="Q17" i="14"/>
  <c r="P17" i="14"/>
  <c r="O17" i="14"/>
  <c r="N17" i="14"/>
  <c r="M17" i="14"/>
  <c r="F17" i="14"/>
  <c r="W16" i="14"/>
  <c r="V16" i="14"/>
  <c r="U16" i="14"/>
  <c r="R16" i="14"/>
  <c r="Q16" i="14"/>
  <c r="P16" i="14"/>
  <c r="O16" i="14"/>
  <c r="N16" i="14"/>
  <c r="M16" i="14"/>
  <c r="F16" i="14"/>
  <c r="W14" i="14"/>
  <c r="V14" i="14"/>
  <c r="U14" i="14"/>
  <c r="R14" i="14"/>
  <c r="Q14" i="14"/>
  <c r="P14" i="14"/>
  <c r="O14" i="14"/>
  <c r="N14" i="14"/>
  <c r="M14" i="14"/>
  <c r="F14" i="14"/>
  <c r="W13" i="14"/>
  <c r="V13" i="14"/>
  <c r="U13" i="14"/>
  <c r="R13" i="14"/>
  <c r="Q13" i="14"/>
  <c r="P13" i="14"/>
  <c r="O13" i="14"/>
  <c r="N13" i="14"/>
  <c r="M13" i="14"/>
  <c r="F13" i="14"/>
  <c r="W12" i="14"/>
  <c r="V12" i="14"/>
  <c r="U12" i="14"/>
  <c r="R12" i="14"/>
  <c r="Q12" i="14"/>
  <c r="P12" i="14"/>
  <c r="O12" i="14"/>
  <c r="N12" i="14"/>
  <c r="M12" i="14"/>
  <c r="F12" i="14"/>
  <c r="W11" i="14"/>
  <c r="V11" i="14"/>
  <c r="U11" i="14"/>
  <c r="R11" i="14"/>
  <c r="Q11" i="14"/>
  <c r="P11" i="14"/>
  <c r="O11" i="14"/>
  <c r="N11" i="14"/>
  <c r="M11" i="14"/>
  <c r="F11" i="14"/>
  <c r="W10" i="14"/>
  <c r="V10" i="14"/>
  <c r="U10" i="14"/>
  <c r="R10" i="14"/>
  <c r="Q10" i="14"/>
  <c r="P10" i="14"/>
  <c r="O10" i="14"/>
  <c r="N10" i="14"/>
  <c r="M10" i="14"/>
  <c r="F10" i="14"/>
  <c r="W8" i="14"/>
  <c r="V8" i="14"/>
  <c r="U8" i="14"/>
  <c r="R8" i="14"/>
  <c r="Q8" i="14"/>
  <c r="P8" i="14"/>
  <c r="O8" i="14"/>
  <c r="N8" i="14"/>
  <c r="M8" i="14"/>
  <c r="F8" i="14"/>
  <c r="W7" i="14"/>
  <c r="V7" i="14"/>
  <c r="U7" i="14"/>
  <c r="R7" i="14"/>
  <c r="Q7" i="14"/>
  <c r="P7" i="14"/>
  <c r="O7" i="14"/>
  <c r="N7" i="14"/>
  <c r="M7" i="14"/>
  <c r="F7" i="14"/>
  <c r="W6" i="14"/>
  <c r="V6" i="14"/>
  <c r="U6" i="14"/>
  <c r="R6" i="14"/>
  <c r="Q6" i="14"/>
  <c r="P6" i="14"/>
  <c r="O6" i="14"/>
  <c r="N6" i="14"/>
  <c r="M6" i="14"/>
  <c r="F6" i="14"/>
  <c r="F63" i="14" l="1"/>
  <c r="V106" i="14"/>
  <c r="N92" i="14"/>
  <c r="U92" i="14"/>
  <c r="F100" i="14"/>
  <c r="H100" i="14"/>
  <c r="N100" i="14"/>
  <c r="P106" i="14"/>
  <c r="R106" i="14"/>
  <c r="H106" i="14"/>
  <c r="M106" i="14"/>
  <c r="O106" i="14"/>
  <c r="M92" i="14"/>
  <c r="O92" i="14"/>
  <c r="Q92" i="14"/>
  <c r="V92" i="14"/>
  <c r="P100" i="14"/>
  <c r="R100" i="14"/>
  <c r="U100" i="14"/>
  <c r="W100" i="14"/>
  <c r="Q106" i="14"/>
  <c r="R92" i="14"/>
  <c r="W92" i="14"/>
  <c r="N106" i="14"/>
  <c r="U106" i="14"/>
  <c r="W106" i="14"/>
  <c r="P92" i="14"/>
  <c r="F92" i="14"/>
  <c r="H92" i="14"/>
  <c r="M100" i="14"/>
  <c r="O100" i="14"/>
  <c r="Q100" i="14"/>
  <c r="V100" i="14"/>
  <c r="F106" i="14"/>
  <c r="R51" i="14" l="1"/>
  <c r="R49" i="14"/>
  <c r="R85" i="13"/>
  <c r="R45" i="13"/>
  <c r="R59" i="14" l="1"/>
  <c r="R5" i="14"/>
  <c r="R9" i="14"/>
  <c r="R30" i="14"/>
  <c r="R39" i="14"/>
  <c r="R42" i="14"/>
  <c r="R72" i="14"/>
  <c r="R80" i="14"/>
  <c r="R86" i="14"/>
  <c r="R15" i="14"/>
  <c r="R19" i="14"/>
  <c r="R23" i="14"/>
  <c r="R33" i="14"/>
  <c r="R53" i="14"/>
  <c r="R63" i="14"/>
  <c r="R58" i="14" l="1"/>
  <c r="R71" i="14"/>
  <c r="R49" i="13" s="1"/>
  <c r="R91" i="14"/>
  <c r="R89" i="13" s="1"/>
  <c r="R38" i="14"/>
  <c r="R4" i="14"/>
  <c r="R3" i="14" l="1"/>
  <c r="R9" i="13" s="1"/>
  <c r="D5" i="13"/>
  <c r="Q91" i="14" l="1"/>
  <c r="Q89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7" i="13"/>
  <c r="D7" i="13"/>
  <c r="Q85" i="13"/>
  <c r="Q45" i="13"/>
  <c r="P89" i="13"/>
  <c r="P85" i="13"/>
  <c r="P45" i="13"/>
  <c r="L85" i="13"/>
  <c r="L45" i="13"/>
  <c r="H85" i="13"/>
  <c r="H45" i="13"/>
  <c r="Q4" i="14" l="1"/>
  <c r="P38" i="14"/>
  <c r="Q38" i="14"/>
  <c r="P58" i="14"/>
  <c r="Q58" i="14"/>
  <c r="P4" i="14"/>
  <c r="Q71" i="14"/>
  <c r="Q49" i="13" s="1"/>
  <c r="P71" i="14"/>
  <c r="P49" i="13" s="1"/>
  <c r="L42" i="4"/>
  <c r="K42" i="4"/>
  <c r="D87" i="13"/>
  <c r="S85" i="13"/>
  <c r="S45" i="13"/>
  <c r="L3" i="4"/>
  <c r="K3" i="4"/>
  <c r="W117" i="13" l="1"/>
  <c r="U117" i="13"/>
  <c r="R117" i="13"/>
  <c r="P117" i="13"/>
  <c r="N117" i="13"/>
  <c r="L117" i="13"/>
  <c r="H117" i="13"/>
  <c r="F117" i="13"/>
  <c r="Q37" i="13"/>
  <c r="M37" i="13"/>
  <c r="W77" i="13"/>
  <c r="U77" i="13"/>
  <c r="R77" i="13"/>
  <c r="P77" i="13"/>
  <c r="N77" i="13"/>
  <c r="L77" i="13"/>
  <c r="H77" i="13"/>
  <c r="F77" i="13"/>
  <c r="R119" i="13"/>
  <c r="R116" i="13"/>
  <c r="R112" i="13"/>
  <c r="R110" i="13"/>
  <c r="R108" i="13"/>
  <c r="R105" i="13"/>
  <c r="R103" i="13"/>
  <c r="R101" i="13"/>
  <c r="R99" i="13"/>
  <c r="R97" i="13"/>
  <c r="R95" i="13"/>
  <c r="R93" i="13"/>
  <c r="R91" i="13"/>
  <c r="R78" i="13"/>
  <c r="R75" i="13"/>
  <c r="R73" i="13"/>
  <c r="R71" i="13"/>
  <c r="R69" i="13"/>
  <c r="R66" i="13"/>
  <c r="R64" i="13"/>
  <c r="R62" i="13"/>
  <c r="R60" i="13"/>
  <c r="R58" i="13"/>
  <c r="R56" i="13"/>
  <c r="R54" i="13"/>
  <c r="R52" i="13"/>
  <c r="R39" i="13"/>
  <c r="R36" i="13"/>
  <c r="R32" i="13"/>
  <c r="R30" i="13"/>
  <c r="R28" i="13"/>
  <c r="R25" i="13"/>
  <c r="R23" i="13"/>
  <c r="R21" i="13"/>
  <c r="R19" i="13"/>
  <c r="R17" i="13"/>
  <c r="R15" i="13"/>
  <c r="R13" i="13"/>
  <c r="R11" i="13"/>
  <c r="Q117" i="13"/>
  <c r="M117" i="13"/>
  <c r="W37" i="13"/>
  <c r="U37" i="13"/>
  <c r="R37" i="13"/>
  <c r="P37" i="13"/>
  <c r="N37" i="13"/>
  <c r="F37" i="13"/>
  <c r="Q77" i="13"/>
  <c r="M77" i="13"/>
  <c r="R118" i="13"/>
  <c r="R113" i="13"/>
  <c r="R109" i="13"/>
  <c r="R104" i="13"/>
  <c r="R100" i="13"/>
  <c r="R96" i="13"/>
  <c r="R92" i="13"/>
  <c r="R76" i="13"/>
  <c r="R72" i="13"/>
  <c r="R68" i="13"/>
  <c r="R63" i="13"/>
  <c r="R59" i="13"/>
  <c r="R55" i="13"/>
  <c r="R51" i="13"/>
  <c r="R35" i="13"/>
  <c r="R31" i="13"/>
  <c r="R26" i="13"/>
  <c r="R22" i="13"/>
  <c r="R18" i="13"/>
  <c r="R14" i="13"/>
  <c r="L37" i="13"/>
  <c r="H37" i="13"/>
  <c r="R115" i="13"/>
  <c r="R111" i="13"/>
  <c r="R106" i="13"/>
  <c r="R102" i="13"/>
  <c r="R98" i="13"/>
  <c r="R94" i="13"/>
  <c r="R79" i="13"/>
  <c r="R70" i="13"/>
  <c r="R65" i="13"/>
  <c r="R61" i="13"/>
  <c r="R57" i="13"/>
  <c r="R53" i="13"/>
  <c r="R38" i="13"/>
  <c r="R33" i="13"/>
  <c r="R29" i="13"/>
  <c r="R24" i="13"/>
  <c r="R20" i="13"/>
  <c r="R16" i="13"/>
  <c r="R12" i="13"/>
  <c r="Q3" i="14"/>
  <c r="Q9" i="13" s="1"/>
  <c r="P3" i="14"/>
  <c r="P9" i="13" s="1"/>
  <c r="N119" i="13"/>
  <c r="F119" i="13"/>
  <c r="N79" i="13"/>
  <c r="F79" i="13"/>
  <c r="W119" i="13"/>
  <c r="Q119" i="13"/>
  <c r="M119" i="13"/>
  <c r="W79" i="13"/>
  <c r="Q79" i="13"/>
  <c r="M79" i="13"/>
  <c r="P119" i="13"/>
  <c r="L119" i="13"/>
  <c r="H119" i="13"/>
  <c r="P79" i="13"/>
  <c r="L79" i="13"/>
  <c r="H79" i="13"/>
  <c r="U119" i="13"/>
  <c r="U79" i="13"/>
  <c r="U118" i="13"/>
  <c r="Q118" i="13"/>
  <c r="M118" i="13"/>
  <c r="U116" i="13"/>
  <c r="Q116" i="13"/>
  <c r="M116" i="13"/>
  <c r="U115" i="13"/>
  <c r="Q115" i="13"/>
  <c r="M115" i="13"/>
  <c r="U91" i="13"/>
  <c r="Q91" i="13"/>
  <c r="M91" i="13"/>
  <c r="U78" i="13"/>
  <c r="Q78" i="13"/>
  <c r="M78" i="13"/>
  <c r="U76" i="13"/>
  <c r="Q76" i="13"/>
  <c r="M76" i="13"/>
  <c r="U75" i="13"/>
  <c r="Q75" i="13"/>
  <c r="M75" i="13"/>
  <c r="P51" i="13"/>
  <c r="N51" i="13"/>
  <c r="L51" i="13"/>
  <c r="H51" i="13"/>
  <c r="F51" i="13"/>
  <c r="P38" i="13"/>
  <c r="N38" i="13"/>
  <c r="L38" i="13"/>
  <c r="H38" i="13"/>
  <c r="F38" i="13"/>
  <c r="P118" i="13"/>
  <c r="N118" i="13"/>
  <c r="L118" i="13"/>
  <c r="H118" i="13"/>
  <c r="F118" i="13"/>
  <c r="P116" i="13"/>
  <c r="N116" i="13"/>
  <c r="L116" i="13"/>
  <c r="H116" i="13"/>
  <c r="F116" i="13"/>
  <c r="P115" i="13"/>
  <c r="N115" i="13"/>
  <c r="L115" i="13"/>
  <c r="H115" i="13"/>
  <c r="F115" i="13"/>
  <c r="P91" i="13"/>
  <c r="N91" i="13"/>
  <c r="L91" i="13"/>
  <c r="H91" i="13"/>
  <c r="F91" i="13"/>
  <c r="P78" i="13"/>
  <c r="N78" i="13"/>
  <c r="L78" i="13"/>
  <c r="H78" i="13"/>
  <c r="F78" i="13"/>
  <c r="P76" i="13"/>
  <c r="N76" i="13"/>
  <c r="L76" i="13"/>
  <c r="H76" i="13"/>
  <c r="F76" i="13"/>
  <c r="P75" i="13"/>
  <c r="N75" i="13"/>
  <c r="L75" i="13"/>
  <c r="H75" i="13"/>
  <c r="F75" i="13"/>
  <c r="U51" i="13"/>
  <c r="Q51" i="13"/>
  <c r="M51" i="13"/>
  <c r="U38" i="13"/>
  <c r="Q38" i="13"/>
  <c r="M38" i="13"/>
  <c r="P36" i="13"/>
  <c r="N36" i="13"/>
  <c r="L36" i="13"/>
  <c r="H36" i="13"/>
  <c r="F36" i="13"/>
  <c r="P35" i="13"/>
  <c r="N35" i="13"/>
  <c r="L35" i="13"/>
  <c r="H35" i="13"/>
  <c r="F35" i="13"/>
  <c r="P11" i="13"/>
  <c r="N11" i="13"/>
  <c r="L11" i="13"/>
  <c r="H11" i="13"/>
  <c r="F11" i="13"/>
  <c r="U36" i="13"/>
  <c r="Q36" i="13"/>
  <c r="M36" i="13"/>
  <c r="U35" i="13"/>
  <c r="Q35" i="13"/>
  <c r="M35" i="13"/>
  <c r="U11" i="13"/>
  <c r="Q11" i="13"/>
  <c r="M11" i="13"/>
  <c r="Q112" i="13"/>
  <c r="Q110" i="13"/>
  <c r="Q108" i="13"/>
  <c r="Q105" i="13"/>
  <c r="Q103" i="13"/>
  <c r="Q101" i="13"/>
  <c r="Q99" i="13"/>
  <c r="Q97" i="13"/>
  <c r="Q95" i="13"/>
  <c r="Q93" i="13"/>
  <c r="Q72" i="13"/>
  <c r="Q70" i="13"/>
  <c r="Q68" i="13"/>
  <c r="Q65" i="13"/>
  <c r="Q63" i="13"/>
  <c r="Q61" i="13"/>
  <c r="Q59" i="13"/>
  <c r="Q57" i="13"/>
  <c r="Q55" i="13"/>
  <c r="Q53" i="13"/>
  <c r="Q32" i="13"/>
  <c r="Q30" i="13"/>
  <c r="Q28" i="13"/>
  <c r="Q25" i="13"/>
  <c r="Q23" i="13"/>
  <c r="Q21" i="13"/>
  <c r="Q19" i="13"/>
  <c r="Q17" i="13"/>
  <c r="Q15" i="13"/>
  <c r="Q13" i="13"/>
  <c r="P112" i="13"/>
  <c r="P110" i="13"/>
  <c r="P108" i="13"/>
  <c r="P105" i="13"/>
  <c r="P103" i="13"/>
  <c r="P101" i="13"/>
  <c r="P99" i="13"/>
  <c r="P97" i="13"/>
  <c r="P95" i="13"/>
  <c r="P93" i="13"/>
  <c r="P72" i="13"/>
  <c r="P70" i="13"/>
  <c r="P68" i="13"/>
  <c r="P65" i="13"/>
  <c r="P63" i="13"/>
  <c r="P61" i="13"/>
  <c r="P59" i="13"/>
  <c r="P57" i="13"/>
  <c r="P55" i="13"/>
  <c r="P53" i="13"/>
  <c r="P39" i="13"/>
  <c r="P33" i="13"/>
  <c r="P31" i="13"/>
  <c r="P29" i="13"/>
  <c r="P26" i="13"/>
  <c r="P24" i="13"/>
  <c r="P22" i="13"/>
  <c r="P20" i="13"/>
  <c r="Q111" i="13"/>
  <c r="Q106" i="13"/>
  <c r="Q102" i="13"/>
  <c r="Q98" i="13"/>
  <c r="Q94" i="13"/>
  <c r="Q71" i="13"/>
  <c r="Q66" i="13"/>
  <c r="Q62" i="13"/>
  <c r="Q58" i="13"/>
  <c r="Q54" i="13"/>
  <c r="Q39" i="13"/>
  <c r="Q31" i="13"/>
  <c r="Q26" i="13"/>
  <c r="Q22" i="13"/>
  <c r="Q18" i="13"/>
  <c r="Q14" i="13"/>
  <c r="P111" i="13"/>
  <c r="P106" i="13"/>
  <c r="P102" i="13"/>
  <c r="P98" i="13"/>
  <c r="P94" i="13"/>
  <c r="P71" i="13"/>
  <c r="P66" i="13"/>
  <c r="P62" i="13"/>
  <c r="P58" i="13"/>
  <c r="P54" i="13"/>
  <c r="P32" i="13"/>
  <c r="P28" i="13"/>
  <c r="P23" i="13"/>
  <c r="P19" i="13"/>
  <c r="P17" i="13"/>
  <c r="P15" i="13"/>
  <c r="P13" i="13"/>
  <c r="L112" i="13"/>
  <c r="L110" i="13"/>
  <c r="L108" i="13"/>
  <c r="L105" i="13"/>
  <c r="L103" i="13"/>
  <c r="L101" i="13"/>
  <c r="L99" i="13"/>
  <c r="L97" i="13"/>
  <c r="L95" i="13"/>
  <c r="L93" i="13"/>
  <c r="L72" i="13"/>
  <c r="L70" i="13"/>
  <c r="L68" i="13"/>
  <c r="L65" i="13"/>
  <c r="L63" i="13"/>
  <c r="L61" i="13"/>
  <c r="L59" i="13"/>
  <c r="L57" i="13"/>
  <c r="L55" i="13"/>
  <c r="L53" i="13"/>
  <c r="L39" i="13"/>
  <c r="L33" i="13"/>
  <c r="L31" i="13"/>
  <c r="L29" i="13"/>
  <c r="L26" i="13"/>
  <c r="L24" i="13"/>
  <c r="L22" i="13"/>
  <c r="L20" i="13"/>
  <c r="L18" i="13"/>
  <c r="L16" i="13"/>
  <c r="L14" i="13"/>
  <c r="L12" i="13"/>
  <c r="H113" i="13"/>
  <c r="H111" i="13"/>
  <c r="H109" i="13"/>
  <c r="H106" i="13"/>
  <c r="H104" i="13"/>
  <c r="H102" i="13"/>
  <c r="H100" i="13"/>
  <c r="H98" i="13"/>
  <c r="H96" i="13"/>
  <c r="H94" i="13"/>
  <c r="H92" i="13"/>
  <c r="H73" i="13"/>
  <c r="H71" i="13"/>
  <c r="H69" i="13"/>
  <c r="H66" i="13"/>
  <c r="H64" i="13"/>
  <c r="H62" i="13"/>
  <c r="H60" i="13"/>
  <c r="H58" i="13"/>
  <c r="H56" i="13"/>
  <c r="H54" i="13"/>
  <c r="H52" i="13"/>
  <c r="H32" i="13"/>
  <c r="H30" i="13"/>
  <c r="H28" i="13"/>
  <c r="H25" i="13"/>
  <c r="H23" i="13"/>
  <c r="H21" i="13"/>
  <c r="H19" i="13"/>
  <c r="H17" i="13"/>
  <c r="H15" i="13"/>
  <c r="H13" i="13"/>
  <c r="Q113" i="13"/>
  <c r="Q109" i="13"/>
  <c r="Q104" i="13"/>
  <c r="Q100" i="13"/>
  <c r="Q96" i="13"/>
  <c r="Q92" i="13"/>
  <c r="Q73" i="13"/>
  <c r="Q69" i="13"/>
  <c r="Q64" i="13"/>
  <c r="Q60" i="13"/>
  <c r="Q56" i="13"/>
  <c r="Q52" i="13"/>
  <c r="Q33" i="13"/>
  <c r="Q29" i="13"/>
  <c r="Q24" i="13"/>
  <c r="Q20" i="13"/>
  <c r="Q16" i="13"/>
  <c r="Q12" i="13"/>
  <c r="P113" i="13"/>
  <c r="P109" i="13"/>
  <c r="P104" i="13"/>
  <c r="P100" i="13"/>
  <c r="P96" i="13"/>
  <c r="P92" i="13"/>
  <c r="P73" i="13"/>
  <c r="P69" i="13"/>
  <c r="P64" i="13"/>
  <c r="P60" i="13"/>
  <c r="P56" i="13"/>
  <c r="P52" i="13"/>
  <c r="P30" i="13"/>
  <c r="P25" i="13"/>
  <c r="P21" i="13"/>
  <c r="P18" i="13"/>
  <c r="P16" i="13"/>
  <c r="P14" i="13"/>
  <c r="P12" i="13"/>
  <c r="L113" i="13"/>
  <c r="L111" i="13"/>
  <c r="L109" i="13"/>
  <c r="L106" i="13"/>
  <c r="L102" i="13"/>
  <c r="L98" i="13"/>
  <c r="L94" i="13"/>
  <c r="L71" i="13"/>
  <c r="L66" i="13"/>
  <c r="L62" i="13"/>
  <c r="L58" i="13"/>
  <c r="L54" i="13"/>
  <c r="L32" i="13"/>
  <c r="L28" i="13"/>
  <c r="L23" i="13"/>
  <c r="L19" i="13"/>
  <c r="L15" i="13"/>
  <c r="H110" i="13"/>
  <c r="H105" i="13"/>
  <c r="H101" i="13"/>
  <c r="H97" i="13"/>
  <c r="H93" i="13"/>
  <c r="H70" i="13"/>
  <c r="H65" i="13"/>
  <c r="H61" i="13"/>
  <c r="H57" i="13"/>
  <c r="H53" i="13"/>
  <c r="H39" i="13"/>
  <c r="H31" i="13"/>
  <c r="H26" i="13"/>
  <c r="H22" i="13"/>
  <c r="H18" i="13"/>
  <c r="H14" i="13"/>
  <c r="L104" i="13"/>
  <c r="L100" i="13"/>
  <c r="L96" i="13"/>
  <c r="L92" i="13"/>
  <c r="L73" i="13"/>
  <c r="L69" i="13"/>
  <c r="L64" i="13"/>
  <c r="L60" i="13"/>
  <c r="L56" i="13"/>
  <c r="L52" i="13"/>
  <c r="L30" i="13"/>
  <c r="L25" i="13"/>
  <c r="L21" i="13"/>
  <c r="L17" i="13"/>
  <c r="L13" i="13"/>
  <c r="H112" i="13"/>
  <c r="H108" i="13"/>
  <c r="H103" i="13"/>
  <c r="H99" i="13"/>
  <c r="H95" i="13"/>
  <c r="H72" i="13"/>
  <c r="H68" i="13"/>
  <c r="H63" i="13"/>
  <c r="H59" i="13"/>
  <c r="H55" i="13"/>
  <c r="H33" i="13"/>
  <c r="H29" i="13"/>
  <c r="H24" i="13"/>
  <c r="H20" i="13"/>
  <c r="H16" i="13"/>
  <c r="H12" i="13"/>
  <c r="U17" i="13"/>
  <c r="R67" i="13" l="1"/>
  <c r="R74" i="13"/>
  <c r="R27" i="13"/>
  <c r="R120" i="13"/>
  <c r="R34" i="13"/>
  <c r="R80" i="13"/>
  <c r="R107" i="13"/>
  <c r="R114" i="13"/>
  <c r="R40" i="13"/>
  <c r="Q27" i="13"/>
  <c r="H120" i="13"/>
  <c r="H80" i="13"/>
  <c r="S120" i="13"/>
  <c r="S80" i="13"/>
  <c r="L80" i="13"/>
  <c r="Q80" i="13"/>
  <c r="P40" i="13"/>
  <c r="P120" i="13"/>
  <c r="L40" i="13"/>
  <c r="H27" i="13"/>
  <c r="H114" i="13"/>
  <c r="L67" i="13"/>
  <c r="L107" i="13"/>
  <c r="L120" i="13"/>
  <c r="P80" i="13"/>
  <c r="Q120" i="13"/>
  <c r="S107" i="13"/>
  <c r="H67" i="13"/>
  <c r="S67" i="13"/>
  <c r="P67" i="13"/>
  <c r="P107" i="13"/>
  <c r="Q67" i="13"/>
  <c r="Q107" i="13"/>
  <c r="H107" i="13"/>
  <c r="L27" i="13"/>
  <c r="S27" i="13"/>
  <c r="P27" i="13"/>
  <c r="H34" i="13"/>
  <c r="L34" i="13"/>
  <c r="H40" i="13"/>
  <c r="W59" i="14"/>
  <c r="L114" i="13"/>
  <c r="P74" i="13"/>
  <c r="Q34" i="13"/>
  <c r="Q114" i="13"/>
  <c r="H74" i="13"/>
  <c r="L74" i="13"/>
  <c r="P114" i="13"/>
  <c r="Q40" i="13"/>
  <c r="Q74" i="13"/>
  <c r="S40" i="13"/>
  <c r="P34" i="13"/>
  <c r="S74" i="13"/>
  <c r="S114" i="13"/>
  <c r="S34" i="13"/>
  <c r="S6" i="13" l="1"/>
  <c r="S8" i="13" s="1"/>
  <c r="R41" i="13"/>
  <c r="R81" i="13"/>
  <c r="R46" i="13"/>
  <c r="R48" i="13" s="1"/>
  <c r="R50" i="13" s="1"/>
  <c r="R86" i="13"/>
  <c r="R88" i="13" s="1"/>
  <c r="R90" i="13" s="1"/>
  <c r="R6" i="13"/>
  <c r="R8" i="13" s="1"/>
  <c r="R10" i="13" s="1"/>
  <c r="R121" i="13"/>
  <c r="L86" i="13"/>
  <c r="L88" i="13" s="1"/>
  <c r="P46" i="13"/>
  <c r="P48" i="13" s="1"/>
  <c r="P50" i="13" s="1"/>
  <c r="H6" i="13"/>
  <c r="H8" i="13" s="1"/>
  <c r="L81" i="13"/>
  <c r="H41" i="13"/>
  <c r="Q81" i="13"/>
  <c r="Q86" i="13"/>
  <c r="Q88" i="13" s="1"/>
  <c r="P81" i="13"/>
  <c r="H86" i="13"/>
  <c r="H88" i="13" s="1"/>
  <c r="Q121" i="13"/>
  <c r="H81" i="13"/>
  <c r="Q6" i="13"/>
  <c r="Q8" i="13" s="1"/>
  <c r="S41" i="13"/>
  <c r="S86" i="13"/>
  <c r="S88" i="13" s="1"/>
  <c r="P121" i="13"/>
  <c r="Q41" i="13"/>
  <c r="L121" i="13"/>
  <c r="L6" i="13"/>
  <c r="L8" i="13" s="1"/>
  <c r="H121" i="13"/>
  <c r="L41" i="13"/>
  <c r="L46" i="13"/>
  <c r="L48" i="13" s="1"/>
  <c r="H46" i="13"/>
  <c r="H48" i="13" s="1"/>
  <c r="Q46" i="13"/>
  <c r="Q48" i="13" s="1"/>
  <c r="P86" i="13"/>
  <c r="P88" i="13" s="1"/>
  <c r="P90" i="13" s="1"/>
  <c r="P6" i="13"/>
  <c r="P8" i="13" s="1"/>
  <c r="P10" i="13" s="1"/>
  <c r="S46" i="13"/>
  <c r="S48" i="13" s="1"/>
  <c r="S81" i="13"/>
  <c r="S121" i="13"/>
  <c r="P41" i="13"/>
  <c r="Q501" i="25"/>
  <c r="P501" i="25"/>
  <c r="Q500" i="25"/>
  <c r="P500" i="25"/>
  <c r="Q499" i="25"/>
  <c r="P499" i="25"/>
  <c r="Q498" i="25"/>
  <c r="P498" i="25"/>
  <c r="Q497" i="25"/>
  <c r="P497" i="25"/>
  <c r="Q496" i="25"/>
  <c r="P496" i="25"/>
  <c r="Q495" i="25"/>
  <c r="P495" i="25"/>
  <c r="Q494" i="25"/>
  <c r="P494" i="25"/>
  <c r="Q493" i="25"/>
  <c r="P493" i="25"/>
  <c r="Q492" i="25"/>
  <c r="P492" i="25"/>
  <c r="Q491" i="25"/>
  <c r="P491" i="25"/>
  <c r="Q490" i="25"/>
  <c r="P490" i="25"/>
  <c r="Q489" i="25"/>
  <c r="P489" i="25"/>
  <c r="Q488" i="25"/>
  <c r="P488" i="25"/>
  <c r="Q487" i="25"/>
  <c r="P487" i="25"/>
  <c r="Q486" i="25"/>
  <c r="P486" i="25"/>
  <c r="Q485" i="25"/>
  <c r="P485" i="25"/>
  <c r="Q484" i="25"/>
  <c r="P484" i="25"/>
  <c r="Q483" i="25"/>
  <c r="P483" i="25"/>
  <c r="Q482" i="25"/>
  <c r="P482" i="25"/>
  <c r="Q481" i="25"/>
  <c r="P481" i="25"/>
  <c r="Q480" i="25"/>
  <c r="P480" i="25"/>
  <c r="Q479" i="25"/>
  <c r="P479" i="25"/>
  <c r="Q478" i="25"/>
  <c r="P478" i="25"/>
  <c r="Q477" i="25"/>
  <c r="P477" i="25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60" i="25"/>
  <c r="P160" i="25"/>
  <c r="Q159" i="25"/>
  <c r="P159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Q143" i="25"/>
  <c r="P143" i="25"/>
  <c r="Q142" i="25"/>
  <c r="P142" i="25"/>
  <c r="Q141" i="25"/>
  <c r="P141" i="25"/>
  <c r="Q140" i="25"/>
  <c r="P140" i="25"/>
  <c r="Q139" i="25"/>
  <c r="P139" i="25"/>
  <c r="Q138" i="25"/>
  <c r="P138" i="25"/>
  <c r="Q137" i="25"/>
  <c r="P137" i="25"/>
  <c r="Q136" i="25"/>
  <c r="P136" i="25"/>
  <c r="Q135" i="25"/>
  <c r="P135" i="25"/>
  <c r="Q134" i="25"/>
  <c r="P134" i="25"/>
  <c r="Q133" i="25"/>
  <c r="P133" i="25"/>
  <c r="Q132" i="25"/>
  <c r="P132" i="25"/>
  <c r="Q131" i="25"/>
  <c r="P131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12" i="25"/>
  <c r="X112" i="25"/>
  <c r="Q112" i="25"/>
  <c r="P112" i="25"/>
  <c r="Y111" i="25"/>
  <c r="X111" i="25"/>
  <c r="Q111" i="25"/>
  <c r="P111" i="25"/>
  <c r="Y110" i="25"/>
  <c r="X110" i="25"/>
  <c r="Q110" i="25"/>
  <c r="P110" i="25"/>
  <c r="Y109" i="25"/>
  <c r="X109" i="25"/>
  <c r="Q109" i="25"/>
  <c r="P109" i="25"/>
  <c r="Y108" i="25"/>
  <c r="X108" i="25"/>
  <c r="Q108" i="25"/>
  <c r="P108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102" i="25"/>
  <c r="X102" i="25"/>
  <c r="Q102" i="25"/>
  <c r="P102" i="25"/>
  <c r="Y101" i="25"/>
  <c r="X101" i="25"/>
  <c r="Q101" i="25"/>
  <c r="P101" i="25"/>
  <c r="Y100" i="25"/>
  <c r="X100" i="25"/>
  <c r="Q100" i="25"/>
  <c r="P100" i="25"/>
  <c r="Y99" i="25"/>
  <c r="X99" i="25"/>
  <c r="Q99" i="25"/>
  <c r="P99" i="25"/>
  <c r="Y98" i="25"/>
  <c r="X98" i="25"/>
  <c r="Q98" i="25"/>
  <c r="P98" i="25"/>
  <c r="Y97" i="25"/>
  <c r="X97" i="25"/>
  <c r="Q97" i="25"/>
  <c r="P97" i="25"/>
  <c r="Y96" i="25"/>
  <c r="X96" i="25"/>
  <c r="Q96" i="25"/>
  <c r="P96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2" i="25"/>
  <c r="X32" i="25"/>
  <c r="Q32" i="25"/>
  <c r="P32" i="25"/>
  <c r="Y31" i="25"/>
  <c r="X31" i="25"/>
  <c r="Q31" i="25"/>
  <c r="P31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C1" i="25"/>
  <c r="J61" i="14" l="1"/>
  <c r="J55" i="14"/>
  <c r="J54" i="14"/>
  <c r="J50" i="14"/>
  <c r="J46" i="14"/>
  <c r="J40" i="14"/>
  <c r="J35" i="14"/>
  <c r="J25" i="14"/>
  <c r="J17" i="14"/>
  <c r="J11" i="14"/>
  <c r="J6" i="14"/>
  <c r="J67" i="14"/>
  <c r="J62" i="14"/>
  <c r="J56" i="14"/>
  <c r="J45" i="14"/>
  <c r="J41" i="14"/>
  <c r="J34" i="14"/>
  <c r="J29" i="14"/>
  <c r="J27" i="14"/>
  <c r="J22" i="14"/>
  <c r="J16" i="14"/>
  <c r="J10" i="14"/>
  <c r="J68" i="14"/>
  <c r="J66" i="14"/>
  <c r="J65" i="14"/>
  <c r="J57" i="14"/>
  <c r="J47" i="14"/>
  <c r="J43" i="14"/>
  <c r="J36" i="14"/>
  <c r="J31" i="14"/>
  <c r="J64" i="14"/>
  <c r="J60" i="14"/>
  <c r="J52" i="14"/>
  <c r="J48" i="14"/>
  <c r="J44" i="14"/>
  <c r="J37" i="14"/>
  <c r="J32" i="14"/>
  <c r="J28" i="14"/>
  <c r="J26" i="14"/>
  <c r="J24" i="14"/>
  <c r="J21" i="14"/>
  <c r="J20" i="14"/>
  <c r="J18" i="14"/>
  <c r="J14" i="14"/>
  <c r="J13" i="14"/>
  <c r="J12" i="14"/>
  <c r="J8" i="14"/>
  <c r="J7" i="14"/>
  <c r="J107" i="14"/>
  <c r="J102" i="14"/>
  <c r="J97" i="14"/>
  <c r="J93" i="14"/>
  <c r="J84" i="14"/>
  <c r="J79" i="14"/>
  <c r="J75" i="14"/>
  <c r="J85" i="14"/>
  <c r="J105" i="14"/>
  <c r="J101" i="14"/>
  <c r="J96" i="14"/>
  <c r="J88" i="14"/>
  <c r="J83" i="14"/>
  <c r="J78" i="14"/>
  <c r="J74" i="14"/>
  <c r="J76" i="14"/>
  <c r="J104" i="14"/>
  <c r="J99" i="14"/>
  <c r="J95" i="14"/>
  <c r="J87" i="14"/>
  <c r="J82" i="14"/>
  <c r="J77" i="14"/>
  <c r="J73" i="14"/>
  <c r="J81" i="14"/>
  <c r="J108" i="14"/>
  <c r="J103" i="14"/>
  <c r="J98" i="14"/>
  <c r="J94" i="14"/>
  <c r="L68" i="14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5" i="13"/>
  <c r="G85" i="13"/>
  <c r="I85" i="13"/>
  <c r="J85" i="13"/>
  <c r="K85" i="13"/>
  <c r="M85" i="13"/>
  <c r="N85" i="13"/>
  <c r="O85" i="13"/>
  <c r="T85" i="13"/>
  <c r="U85" i="13"/>
  <c r="V85" i="13"/>
  <c r="W85" i="13"/>
  <c r="E85" i="13"/>
  <c r="F45" i="13"/>
  <c r="G45" i="13"/>
  <c r="I45" i="13"/>
  <c r="J45" i="13"/>
  <c r="K45" i="13"/>
  <c r="M45" i="13"/>
  <c r="N45" i="13"/>
  <c r="O45" i="13"/>
  <c r="T45" i="13"/>
  <c r="U45" i="13"/>
  <c r="V45" i="13"/>
  <c r="W45" i="13"/>
  <c r="E45" i="13"/>
  <c r="J92" i="14" l="1"/>
  <c r="J100" i="14"/>
  <c r="J106" i="14"/>
  <c r="L106" i="14"/>
  <c r="L92" i="14"/>
  <c r="L100" i="14"/>
  <c r="D45" i="13"/>
  <c r="D85" i="13"/>
  <c r="U83" i="17"/>
  <c r="V83" i="17"/>
  <c r="U82" i="17"/>
  <c r="V82" i="17"/>
  <c r="U10" i="17" l="1"/>
  <c r="V10" i="17"/>
  <c r="V81" i="17" l="1"/>
  <c r="U81" i="17"/>
  <c r="E1" i="17" l="1"/>
  <c r="E1" i="4"/>
  <c r="F49" i="14" l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J77" i="13" l="1"/>
  <c r="J117" i="13"/>
  <c r="J37" i="13"/>
  <c r="J119" i="13"/>
  <c r="J79" i="13"/>
  <c r="J51" i="13"/>
  <c r="J118" i="13"/>
  <c r="J115" i="13"/>
  <c r="J78" i="13"/>
  <c r="J75" i="13"/>
  <c r="J36" i="13"/>
  <c r="J11" i="13"/>
  <c r="J38" i="13"/>
  <c r="J116" i="13"/>
  <c r="J91" i="13"/>
  <c r="J76" i="13"/>
  <c r="J35" i="13"/>
  <c r="I77" i="13"/>
  <c r="I119" i="13"/>
  <c r="I79" i="13"/>
  <c r="I118" i="13"/>
  <c r="I116" i="13"/>
  <c r="I115" i="13"/>
  <c r="I91" i="13"/>
  <c r="I78" i="13"/>
  <c r="I76" i="13"/>
  <c r="I75" i="13"/>
  <c r="I36" i="13"/>
  <c r="I35" i="13"/>
  <c r="I11" i="13"/>
  <c r="I51" i="13"/>
  <c r="I38" i="13"/>
  <c r="I117" i="13"/>
  <c r="I37" i="13"/>
  <c r="K119" i="13"/>
  <c r="K115" i="13"/>
  <c r="K75" i="13"/>
  <c r="K38" i="13"/>
  <c r="K35" i="13"/>
  <c r="K77" i="13"/>
  <c r="K91" i="13"/>
  <c r="K11" i="13"/>
  <c r="K79" i="13"/>
  <c r="K118" i="13"/>
  <c r="K78" i="13"/>
  <c r="K37" i="13"/>
  <c r="K117" i="13"/>
  <c r="K116" i="13"/>
  <c r="K36" i="13"/>
  <c r="K76" i="13"/>
  <c r="K51" i="13"/>
  <c r="V119" i="13"/>
  <c r="V79" i="13"/>
  <c r="V115" i="13"/>
  <c r="V75" i="13"/>
  <c r="V37" i="13"/>
  <c r="V36" i="13"/>
  <c r="V116" i="13"/>
  <c r="V76" i="13"/>
  <c r="V117" i="13"/>
  <c r="V77" i="13"/>
  <c r="V38" i="13"/>
  <c r="V118" i="13"/>
  <c r="V78" i="13"/>
  <c r="V11" i="13"/>
  <c r="V51" i="13"/>
  <c r="V91" i="13"/>
  <c r="V35" i="13"/>
  <c r="T117" i="13"/>
  <c r="T119" i="13"/>
  <c r="T79" i="13"/>
  <c r="T51" i="13"/>
  <c r="T38" i="13"/>
  <c r="T37" i="13"/>
  <c r="T77" i="13"/>
  <c r="T118" i="13"/>
  <c r="T116" i="13"/>
  <c r="T115" i="13"/>
  <c r="T91" i="13"/>
  <c r="T78" i="13"/>
  <c r="T76" i="13"/>
  <c r="T75" i="13"/>
  <c r="T36" i="13"/>
  <c r="T35" i="13"/>
  <c r="T11" i="13"/>
  <c r="E77" i="13"/>
  <c r="E76" i="13"/>
  <c r="E37" i="13"/>
  <c r="E117" i="13"/>
  <c r="G117" i="13"/>
  <c r="G38" i="13"/>
  <c r="G79" i="13"/>
  <c r="G116" i="13"/>
  <c r="G91" i="13"/>
  <c r="G76" i="13"/>
  <c r="G36" i="13"/>
  <c r="G11" i="13"/>
  <c r="G77" i="13"/>
  <c r="G119" i="13"/>
  <c r="G51" i="13"/>
  <c r="G37" i="13"/>
  <c r="G118" i="13"/>
  <c r="G115" i="13"/>
  <c r="G78" i="13"/>
  <c r="G75" i="13"/>
  <c r="G35" i="13"/>
  <c r="O117" i="13"/>
  <c r="O77" i="13"/>
  <c r="O119" i="13"/>
  <c r="O79" i="13"/>
  <c r="O116" i="13"/>
  <c r="O91" i="13"/>
  <c r="O76" i="13"/>
  <c r="O38" i="13"/>
  <c r="O36" i="13"/>
  <c r="O11" i="13"/>
  <c r="O37" i="13"/>
  <c r="O118" i="13"/>
  <c r="O115" i="13"/>
  <c r="O78" i="13"/>
  <c r="O75" i="13"/>
  <c r="O51" i="13"/>
  <c r="O35" i="13"/>
  <c r="E79" i="13"/>
  <c r="E51" i="13"/>
  <c r="E38" i="13"/>
  <c r="E118" i="13"/>
  <c r="E116" i="13"/>
  <c r="E115" i="13"/>
  <c r="E91" i="13"/>
  <c r="E78" i="13"/>
  <c r="E75" i="13"/>
  <c r="E119" i="13"/>
  <c r="E15" i="13"/>
  <c r="E36" i="13"/>
  <c r="E35" i="13"/>
  <c r="E11" i="13"/>
  <c r="W118" i="13"/>
  <c r="W115" i="13"/>
  <c r="W78" i="13"/>
  <c r="W75" i="13"/>
  <c r="W51" i="13"/>
  <c r="W36" i="13"/>
  <c r="W11" i="13"/>
  <c r="W116" i="13"/>
  <c r="W91" i="13"/>
  <c r="W76" i="13"/>
  <c r="W38" i="13"/>
  <c r="W35" i="13"/>
  <c r="M3" i="17"/>
  <c r="D117" i="13" l="1"/>
  <c r="D77" i="13"/>
  <c r="D37" i="13"/>
  <c r="D119" i="13"/>
  <c r="D76" i="13"/>
  <c r="D79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18" i="13"/>
  <c r="D35" i="13"/>
  <c r="D115" i="13"/>
  <c r="D91" i="13"/>
  <c r="D51" i="13"/>
  <c r="D36" i="13"/>
  <c r="D75" i="13"/>
  <c r="D116" i="13"/>
  <c r="D38" i="13"/>
  <c r="D11" i="13"/>
  <c r="D78" i="13"/>
  <c r="H30" i="14" l="1"/>
  <c r="H39" i="14"/>
  <c r="H42" i="14"/>
  <c r="H5" i="14"/>
  <c r="H15" i="14"/>
  <c r="H53" i="14"/>
  <c r="H59" i="14"/>
  <c r="H72" i="14"/>
  <c r="H9" i="14"/>
  <c r="H19" i="14"/>
  <c r="H63" i="14"/>
  <c r="H80" i="14"/>
  <c r="H33" i="14"/>
  <c r="H23" i="14"/>
  <c r="H91" i="14"/>
  <c r="H89" i="13" s="1"/>
  <c r="H90" i="13" s="1"/>
  <c r="W112" i="13"/>
  <c r="W108" i="13"/>
  <c r="W103" i="13"/>
  <c r="W99" i="13"/>
  <c r="W95" i="13"/>
  <c r="W70" i="13"/>
  <c r="W65" i="13"/>
  <c r="W61" i="13"/>
  <c r="W57" i="13"/>
  <c r="W53" i="13"/>
  <c r="W33" i="13"/>
  <c r="W29" i="13"/>
  <c r="W24" i="13"/>
  <c r="W20" i="13"/>
  <c r="W16" i="13"/>
  <c r="W12" i="13"/>
  <c r="W111" i="13"/>
  <c r="W106" i="13"/>
  <c r="W102" i="13"/>
  <c r="W98" i="13"/>
  <c r="W94" i="13"/>
  <c r="W73" i="13"/>
  <c r="W69" i="13"/>
  <c r="W64" i="13"/>
  <c r="W60" i="13"/>
  <c r="W56" i="13"/>
  <c r="W52" i="13"/>
  <c r="W32" i="13"/>
  <c r="W28" i="13"/>
  <c r="W23" i="13"/>
  <c r="W19" i="13"/>
  <c r="W15" i="13"/>
  <c r="W109" i="13"/>
  <c r="W100" i="13"/>
  <c r="W96" i="13"/>
  <c r="W71" i="13"/>
  <c r="W62" i="13"/>
  <c r="W54" i="13"/>
  <c r="W30" i="13"/>
  <c r="W21" i="13"/>
  <c r="W13" i="13"/>
  <c r="W110" i="13"/>
  <c r="W105" i="13"/>
  <c r="W101" i="13"/>
  <c r="W97" i="13"/>
  <c r="W93" i="13"/>
  <c r="W72" i="13"/>
  <c r="W68" i="13"/>
  <c r="W63" i="13"/>
  <c r="W59" i="13"/>
  <c r="W55" i="13"/>
  <c r="W39" i="13"/>
  <c r="W31" i="13"/>
  <c r="W26" i="13"/>
  <c r="W22" i="13"/>
  <c r="W18" i="13"/>
  <c r="W14" i="13"/>
  <c r="W113" i="13"/>
  <c r="W104" i="13"/>
  <c r="W92" i="13"/>
  <c r="W66" i="13"/>
  <c r="W58" i="13"/>
  <c r="W25" i="13"/>
  <c r="W17" i="13"/>
  <c r="E120" i="13"/>
  <c r="V113" i="13"/>
  <c r="T113" i="13"/>
  <c r="N113" i="13"/>
  <c r="K113" i="13"/>
  <c r="I113" i="13"/>
  <c r="F113" i="13"/>
  <c r="U112" i="13"/>
  <c r="O112" i="13"/>
  <c r="M112" i="13"/>
  <c r="J112" i="13"/>
  <c r="G112" i="13"/>
  <c r="E112" i="13"/>
  <c r="V111" i="13"/>
  <c r="T111" i="13"/>
  <c r="N111" i="13"/>
  <c r="K111" i="13"/>
  <c r="I111" i="13"/>
  <c r="F111" i="13"/>
  <c r="U110" i="13"/>
  <c r="O110" i="13"/>
  <c r="M110" i="13"/>
  <c r="J110" i="13"/>
  <c r="G110" i="13"/>
  <c r="E110" i="13"/>
  <c r="V109" i="13"/>
  <c r="T109" i="13"/>
  <c r="N109" i="13"/>
  <c r="K109" i="13"/>
  <c r="I109" i="13"/>
  <c r="F109" i="13"/>
  <c r="U108" i="13"/>
  <c r="O108" i="13"/>
  <c r="M108" i="13"/>
  <c r="J108" i="13"/>
  <c r="G108" i="13"/>
  <c r="E108" i="13"/>
  <c r="V106" i="13"/>
  <c r="T106" i="13"/>
  <c r="N106" i="13"/>
  <c r="K106" i="13"/>
  <c r="I106" i="13"/>
  <c r="F106" i="13"/>
  <c r="U105" i="13"/>
  <c r="O105" i="13"/>
  <c r="M105" i="13"/>
  <c r="J105" i="13"/>
  <c r="G105" i="13"/>
  <c r="E105" i="13"/>
  <c r="V104" i="13"/>
  <c r="T104" i="13"/>
  <c r="N104" i="13"/>
  <c r="K104" i="13"/>
  <c r="I104" i="13"/>
  <c r="F104" i="13"/>
  <c r="U103" i="13"/>
  <c r="O103" i="13"/>
  <c r="M103" i="13"/>
  <c r="J103" i="13"/>
  <c r="G103" i="13"/>
  <c r="E103" i="13"/>
  <c r="V102" i="13"/>
  <c r="T102" i="13"/>
  <c r="N102" i="13"/>
  <c r="K102" i="13"/>
  <c r="I102" i="13"/>
  <c r="F102" i="13"/>
  <c r="O113" i="13"/>
  <c r="J113" i="13"/>
  <c r="E113" i="13"/>
  <c r="T112" i="13"/>
  <c r="K112" i="13"/>
  <c r="F112" i="13"/>
  <c r="U111" i="13"/>
  <c r="M111" i="13"/>
  <c r="G111" i="13"/>
  <c r="V110" i="13"/>
  <c r="N110" i="13"/>
  <c r="I110" i="13"/>
  <c r="O109" i="13"/>
  <c r="J109" i="13"/>
  <c r="E109" i="13"/>
  <c r="T108" i="13"/>
  <c r="K108" i="13"/>
  <c r="F108" i="13"/>
  <c r="U106" i="13"/>
  <c r="M106" i="13"/>
  <c r="G106" i="13"/>
  <c r="V105" i="13"/>
  <c r="N105" i="13"/>
  <c r="I105" i="13"/>
  <c r="O104" i="13"/>
  <c r="J104" i="13"/>
  <c r="E104" i="13"/>
  <c r="T103" i="13"/>
  <c r="K103" i="13"/>
  <c r="F103" i="13"/>
  <c r="U102" i="13"/>
  <c r="M102" i="13"/>
  <c r="G102" i="13"/>
  <c r="V101" i="13"/>
  <c r="T101" i="13"/>
  <c r="N101" i="13"/>
  <c r="K101" i="13"/>
  <c r="I101" i="13"/>
  <c r="F101" i="13"/>
  <c r="U100" i="13"/>
  <c r="O100" i="13"/>
  <c r="M100" i="13"/>
  <c r="J100" i="13"/>
  <c r="G100" i="13"/>
  <c r="E100" i="13"/>
  <c r="V99" i="13"/>
  <c r="T99" i="13"/>
  <c r="N99" i="13"/>
  <c r="K99" i="13"/>
  <c r="I99" i="13"/>
  <c r="F99" i="13"/>
  <c r="U98" i="13"/>
  <c r="O98" i="13"/>
  <c r="M98" i="13"/>
  <c r="J98" i="13"/>
  <c r="G98" i="13"/>
  <c r="E98" i="13"/>
  <c r="V97" i="13"/>
  <c r="T97" i="13"/>
  <c r="N97" i="13"/>
  <c r="K97" i="13"/>
  <c r="I97" i="13"/>
  <c r="F97" i="13"/>
  <c r="U96" i="13"/>
  <c r="O96" i="13"/>
  <c r="M96" i="13"/>
  <c r="J96" i="13"/>
  <c r="G96" i="13"/>
  <c r="E96" i="13"/>
  <c r="V95" i="13"/>
  <c r="T95" i="13"/>
  <c r="N95" i="13"/>
  <c r="K95" i="13"/>
  <c r="I95" i="13"/>
  <c r="F95" i="13"/>
  <c r="U94" i="13"/>
  <c r="O94" i="13"/>
  <c r="M94" i="13"/>
  <c r="J94" i="13"/>
  <c r="G94" i="13"/>
  <c r="E94" i="13"/>
  <c r="V93" i="13"/>
  <c r="T93" i="13"/>
  <c r="N93" i="13"/>
  <c r="K93" i="13"/>
  <c r="I93" i="13"/>
  <c r="F93" i="13"/>
  <c r="U92" i="13"/>
  <c r="O92" i="13"/>
  <c r="M92" i="13"/>
  <c r="J92" i="13"/>
  <c r="G92" i="13"/>
  <c r="E92" i="13"/>
  <c r="K120" i="13"/>
  <c r="U113" i="13"/>
  <c r="M113" i="13"/>
  <c r="G113" i="13"/>
  <c r="V112" i="13"/>
  <c r="N112" i="13"/>
  <c r="I112" i="13"/>
  <c r="O111" i="13"/>
  <c r="J111" i="13"/>
  <c r="E111" i="13"/>
  <c r="T110" i="13"/>
  <c r="K110" i="13"/>
  <c r="F110" i="13"/>
  <c r="U109" i="13"/>
  <c r="M109" i="13"/>
  <c r="G109" i="13"/>
  <c r="V108" i="13"/>
  <c r="N108" i="13"/>
  <c r="I108" i="13"/>
  <c r="O106" i="13"/>
  <c r="J106" i="13"/>
  <c r="E106" i="13"/>
  <c r="T105" i="13"/>
  <c r="K105" i="13"/>
  <c r="F105" i="13"/>
  <c r="U104" i="13"/>
  <c r="M104" i="13"/>
  <c r="G104" i="13"/>
  <c r="V103" i="13"/>
  <c r="N103" i="13"/>
  <c r="I103" i="13"/>
  <c r="O102" i="13"/>
  <c r="J102" i="13"/>
  <c r="E102" i="13"/>
  <c r="U101" i="13"/>
  <c r="O101" i="13"/>
  <c r="M101" i="13"/>
  <c r="J101" i="13"/>
  <c r="G101" i="13"/>
  <c r="E101" i="13"/>
  <c r="V100" i="13"/>
  <c r="T100" i="13"/>
  <c r="N100" i="13"/>
  <c r="K100" i="13"/>
  <c r="I100" i="13"/>
  <c r="F100" i="13"/>
  <c r="U99" i="13"/>
  <c r="O99" i="13"/>
  <c r="M99" i="13"/>
  <c r="J99" i="13"/>
  <c r="G99" i="13"/>
  <c r="E99" i="13"/>
  <c r="V98" i="13"/>
  <c r="T98" i="13"/>
  <c r="N98" i="13"/>
  <c r="I98" i="13"/>
  <c r="O97" i="13"/>
  <c r="J97" i="13"/>
  <c r="E97" i="13"/>
  <c r="T96" i="13"/>
  <c r="K96" i="13"/>
  <c r="F96" i="13"/>
  <c r="U95" i="13"/>
  <c r="M95" i="13"/>
  <c r="G95" i="13"/>
  <c r="V94" i="13"/>
  <c r="N94" i="13"/>
  <c r="I94" i="13"/>
  <c r="O93" i="13"/>
  <c r="J93" i="13"/>
  <c r="E93" i="13"/>
  <c r="T92" i="13"/>
  <c r="K92" i="13"/>
  <c r="F92" i="13"/>
  <c r="K98" i="13"/>
  <c r="F98" i="13"/>
  <c r="U97" i="13"/>
  <c r="M97" i="13"/>
  <c r="G97" i="13"/>
  <c r="V96" i="13"/>
  <c r="N96" i="13"/>
  <c r="I96" i="13"/>
  <c r="O95" i="13"/>
  <c r="J95" i="13"/>
  <c r="E95" i="13"/>
  <c r="T94" i="13"/>
  <c r="K94" i="13"/>
  <c r="F94" i="13"/>
  <c r="U93" i="13"/>
  <c r="M93" i="13"/>
  <c r="G93" i="13"/>
  <c r="V92" i="13"/>
  <c r="N92" i="13"/>
  <c r="I92" i="13"/>
  <c r="O80" i="13"/>
  <c r="J80" i="13"/>
  <c r="E80" i="13"/>
  <c r="T73" i="13"/>
  <c r="K73" i="13"/>
  <c r="F73" i="13"/>
  <c r="U72" i="13"/>
  <c r="M72" i="13"/>
  <c r="G72" i="13"/>
  <c r="V71" i="13"/>
  <c r="N71" i="13"/>
  <c r="I71" i="13"/>
  <c r="O70" i="13"/>
  <c r="J70" i="13"/>
  <c r="E70" i="13"/>
  <c r="T69" i="13"/>
  <c r="K69" i="13"/>
  <c r="F69" i="13"/>
  <c r="U68" i="13"/>
  <c r="M68" i="13"/>
  <c r="G68" i="13"/>
  <c r="V66" i="13"/>
  <c r="N66" i="13"/>
  <c r="I66" i="13"/>
  <c r="O65" i="13"/>
  <c r="J65" i="13"/>
  <c r="E65" i="13"/>
  <c r="T64" i="13"/>
  <c r="K64" i="13"/>
  <c r="F64" i="13"/>
  <c r="U63" i="13"/>
  <c r="M63" i="13"/>
  <c r="G63" i="13"/>
  <c r="V62" i="13"/>
  <c r="N62" i="13"/>
  <c r="I62" i="13"/>
  <c r="O61" i="13"/>
  <c r="J61" i="13"/>
  <c r="E61" i="13"/>
  <c r="J73" i="13"/>
  <c r="T72" i="13"/>
  <c r="F72" i="13"/>
  <c r="M71" i="13"/>
  <c r="V70" i="13"/>
  <c r="I70" i="13"/>
  <c r="O69" i="13"/>
  <c r="E69" i="13"/>
  <c r="K68" i="13"/>
  <c r="U66" i="13"/>
  <c r="G66" i="13"/>
  <c r="N65" i="13"/>
  <c r="J64" i="13"/>
  <c r="T63" i="13"/>
  <c r="F63" i="13"/>
  <c r="M62" i="13"/>
  <c r="V61" i="13"/>
  <c r="I61" i="13"/>
  <c r="U60" i="13"/>
  <c r="M60" i="13"/>
  <c r="G60" i="13"/>
  <c r="V59" i="13"/>
  <c r="N59" i="13"/>
  <c r="I59" i="13"/>
  <c r="O58" i="13"/>
  <c r="J58" i="13"/>
  <c r="E58" i="13"/>
  <c r="T57" i="13"/>
  <c r="K57" i="13"/>
  <c r="F57" i="13"/>
  <c r="U56" i="13"/>
  <c r="M56" i="13"/>
  <c r="G56" i="13"/>
  <c r="V55" i="13"/>
  <c r="N55" i="13"/>
  <c r="I55" i="13"/>
  <c r="O54" i="13"/>
  <c r="N73" i="13"/>
  <c r="J72" i="13"/>
  <c r="T71" i="13"/>
  <c r="F71" i="13"/>
  <c r="M70" i="13"/>
  <c r="V69" i="13"/>
  <c r="I69" i="13"/>
  <c r="O68" i="13"/>
  <c r="E68" i="13"/>
  <c r="K66" i="13"/>
  <c r="U65" i="13"/>
  <c r="G65" i="13"/>
  <c r="N64" i="13"/>
  <c r="J63" i="13"/>
  <c r="T62" i="13"/>
  <c r="F62" i="13"/>
  <c r="M61" i="13"/>
  <c r="O73" i="13"/>
  <c r="K72" i="13"/>
  <c r="G71" i="13"/>
  <c r="T68" i="13"/>
  <c r="M66" i="13"/>
  <c r="I65" i="13"/>
  <c r="E64" i="13"/>
  <c r="U62" i="13"/>
  <c r="N61" i="13"/>
  <c r="O60" i="13"/>
  <c r="E60" i="13"/>
  <c r="K59" i="13"/>
  <c r="U58" i="13"/>
  <c r="G58" i="13"/>
  <c r="N57" i="13"/>
  <c r="J56" i="13"/>
  <c r="T55" i="13"/>
  <c r="F55" i="13"/>
  <c r="M54" i="13"/>
  <c r="G54" i="13"/>
  <c r="V53" i="13"/>
  <c r="N53" i="13"/>
  <c r="I53" i="13"/>
  <c r="O52" i="13"/>
  <c r="J52" i="13"/>
  <c r="E52" i="13"/>
  <c r="U73" i="13"/>
  <c r="G73" i="13"/>
  <c r="N72" i="13"/>
  <c r="J71" i="13"/>
  <c r="T70" i="13"/>
  <c r="F70" i="13"/>
  <c r="M69" i="13"/>
  <c r="V68" i="13"/>
  <c r="I68" i="13"/>
  <c r="O66" i="13"/>
  <c r="E66" i="13"/>
  <c r="K65" i="13"/>
  <c r="U64" i="13"/>
  <c r="G64" i="13"/>
  <c r="N63" i="13"/>
  <c r="J62" i="13"/>
  <c r="T61" i="13"/>
  <c r="F61" i="13"/>
  <c r="T60" i="13"/>
  <c r="K60" i="13"/>
  <c r="F60" i="13"/>
  <c r="U59" i="13"/>
  <c r="M59" i="13"/>
  <c r="G59" i="13"/>
  <c r="V58" i="13"/>
  <c r="N58" i="13"/>
  <c r="I58" i="13"/>
  <c r="O57" i="13"/>
  <c r="J57" i="13"/>
  <c r="E57" i="13"/>
  <c r="N56" i="13"/>
  <c r="J55" i="13"/>
  <c r="T54" i="13"/>
  <c r="F54" i="13"/>
  <c r="M53" i="13"/>
  <c r="V52" i="13"/>
  <c r="I52" i="13"/>
  <c r="K56" i="13"/>
  <c r="U55" i="13"/>
  <c r="G55" i="13"/>
  <c r="N54" i="13"/>
  <c r="J53" i="13"/>
  <c r="T52" i="13"/>
  <c r="F52" i="13"/>
  <c r="V73" i="13"/>
  <c r="I73" i="13"/>
  <c r="O72" i="13"/>
  <c r="E72" i="13"/>
  <c r="K71" i="13"/>
  <c r="U70" i="13"/>
  <c r="G70" i="13"/>
  <c r="N69" i="13"/>
  <c r="J68" i="13"/>
  <c r="T66" i="13"/>
  <c r="F66" i="13"/>
  <c r="M65" i="13"/>
  <c r="V64" i="13"/>
  <c r="I64" i="13"/>
  <c r="O63" i="13"/>
  <c r="E63" i="13"/>
  <c r="K62" i="13"/>
  <c r="U61" i="13"/>
  <c r="G61" i="13"/>
  <c r="E73" i="13"/>
  <c r="U71" i="13"/>
  <c r="N70" i="13"/>
  <c r="J69" i="13"/>
  <c r="F68" i="13"/>
  <c r="V65" i="13"/>
  <c r="O64" i="13"/>
  <c r="K63" i="13"/>
  <c r="G62" i="13"/>
  <c r="J60" i="13"/>
  <c r="T59" i="13"/>
  <c r="F59" i="13"/>
  <c r="M58" i="13"/>
  <c r="V57" i="13"/>
  <c r="I57" i="13"/>
  <c r="O56" i="13"/>
  <c r="E56" i="13"/>
  <c r="K55" i="13"/>
  <c r="U54" i="13"/>
  <c r="J54" i="13"/>
  <c r="E54" i="13"/>
  <c r="T53" i="13"/>
  <c r="K53" i="13"/>
  <c r="F53" i="13"/>
  <c r="U52" i="13"/>
  <c r="M52" i="13"/>
  <c r="G52" i="13"/>
  <c r="F80" i="13"/>
  <c r="M73" i="13"/>
  <c r="V72" i="13"/>
  <c r="I72" i="13"/>
  <c r="O71" i="13"/>
  <c r="E71" i="13"/>
  <c r="K70" i="13"/>
  <c r="U69" i="13"/>
  <c r="G69" i="13"/>
  <c r="N68" i="13"/>
  <c r="J66" i="13"/>
  <c r="T65" i="13"/>
  <c r="F65" i="13"/>
  <c r="M64" i="13"/>
  <c r="V63" i="13"/>
  <c r="I63" i="13"/>
  <c r="O62" i="13"/>
  <c r="E62" i="13"/>
  <c r="V60" i="13"/>
  <c r="I60" i="13"/>
  <c r="O59" i="13"/>
  <c r="E59" i="13"/>
  <c r="K58" i="13"/>
  <c r="U57" i="13"/>
  <c r="G57" i="13"/>
  <c r="I56" i="13"/>
  <c r="E55" i="13"/>
  <c r="U53" i="13"/>
  <c r="N52" i="13"/>
  <c r="F56" i="13"/>
  <c r="V54" i="13"/>
  <c r="O53" i="13"/>
  <c r="K52" i="13"/>
  <c r="K61" i="13"/>
  <c r="N60" i="13"/>
  <c r="J59" i="13"/>
  <c r="T58" i="13"/>
  <c r="F58" i="13"/>
  <c r="M57" i="13"/>
  <c r="V56" i="13"/>
  <c r="O55" i="13"/>
  <c r="K54" i="13"/>
  <c r="G53" i="13"/>
  <c r="T56" i="13"/>
  <c r="M55" i="13"/>
  <c r="I54" i="13"/>
  <c r="E53" i="13"/>
  <c r="V39" i="13"/>
  <c r="T39" i="13"/>
  <c r="N39" i="13"/>
  <c r="K39" i="13"/>
  <c r="I39" i="13"/>
  <c r="F39" i="13"/>
  <c r="V33" i="13"/>
  <c r="T33" i="13"/>
  <c r="N33" i="13"/>
  <c r="K33" i="13"/>
  <c r="I33" i="13"/>
  <c r="F33" i="13"/>
  <c r="U32" i="13"/>
  <c r="O32" i="13"/>
  <c r="M32" i="13"/>
  <c r="J32" i="13"/>
  <c r="G32" i="13"/>
  <c r="E32" i="13"/>
  <c r="V31" i="13"/>
  <c r="T31" i="13"/>
  <c r="N31" i="13"/>
  <c r="K31" i="13"/>
  <c r="I31" i="13"/>
  <c r="F31" i="13"/>
  <c r="U30" i="13"/>
  <c r="O30" i="13"/>
  <c r="M30" i="13"/>
  <c r="J30" i="13"/>
  <c r="G30" i="13"/>
  <c r="E30" i="13"/>
  <c r="V29" i="13"/>
  <c r="T29" i="13"/>
  <c r="N29" i="13"/>
  <c r="K29" i="13"/>
  <c r="I29" i="13"/>
  <c r="F29" i="13"/>
  <c r="U28" i="13"/>
  <c r="O28" i="13"/>
  <c r="M28" i="13"/>
  <c r="J28" i="13"/>
  <c r="G28" i="13"/>
  <c r="E28" i="13"/>
  <c r="V26" i="13"/>
  <c r="T26" i="13"/>
  <c r="N26" i="13"/>
  <c r="K26" i="13"/>
  <c r="I26" i="13"/>
  <c r="F26" i="13"/>
  <c r="U25" i="13"/>
  <c r="O25" i="13"/>
  <c r="M25" i="13"/>
  <c r="J25" i="13"/>
  <c r="G25" i="13"/>
  <c r="E25" i="13"/>
  <c r="V24" i="13"/>
  <c r="T24" i="13"/>
  <c r="N24" i="13"/>
  <c r="K24" i="13"/>
  <c r="I24" i="13"/>
  <c r="F24" i="13"/>
  <c r="U23" i="13"/>
  <c r="O23" i="13"/>
  <c r="M23" i="13"/>
  <c r="J23" i="13"/>
  <c r="G23" i="13"/>
  <c r="E23" i="13"/>
  <c r="V22" i="13"/>
  <c r="T22" i="13"/>
  <c r="N22" i="13"/>
  <c r="K22" i="13"/>
  <c r="I22" i="13"/>
  <c r="F22" i="13"/>
  <c r="O39" i="13"/>
  <c r="J39" i="13"/>
  <c r="E39" i="13"/>
  <c r="U33" i="13"/>
  <c r="M33" i="13"/>
  <c r="G33" i="13"/>
  <c r="V32" i="13"/>
  <c r="N32" i="13"/>
  <c r="I32" i="13"/>
  <c r="O31" i="13"/>
  <c r="J31" i="13"/>
  <c r="E31" i="13"/>
  <c r="T30" i="13"/>
  <c r="K30" i="13"/>
  <c r="F30" i="13"/>
  <c r="U29" i="13"/>
  <c r="M29" i="13"/>
  <c r="G29" i="13"/>
  <c r="V28" i="13"/>
  <c r="N28" i="13"/>
  <c r="I28" i="13"/>
  <c r="O26" i="13"/>
  <c r="J26" i="13"/>
  <c r="E26" i="13"/>
  <c r="T25" i="13"/>
  <c r="K25" i="13"/>
  <c r="F25" i="13"/>
  <c r="U24" i="13"/>
  <c r="M24" i="13"/>
  <c r="G24" i="13"/>
  <c r="V23" i="13"/>
  <c r="N23" i="13"/>
  <c r="I23" i="13"/>
  <c r="O22" i="13"/>
  <c r="J22" i="13"/>
  <c r="E22" i="13"/>
  <c r="U21" i="13"/>
  <c r="O21" i="13"/>
  <c r="M21" i="13"/>
  <c r="J21" i="13"/>
  <c r="G21" i="13"/>
  <c r="E21" i="13"/>
  <c r="V20" i="13"/>
  <c r="T20" i="13"/>
  <c r="N20" i="13"/>
  <c r="K20" i="13"/>
  <c r="I20" i="13"/>
  <c r="F20" i="13"/>
  <c r="U19" i="13"/>
  <c r="O19" i="13"/>
  <c r="M19" i="13"/>
  <c r="J19" i="13"/>
  <c r="G19" i="13"/>
  <c r="E19" i="13"/>
  <c r="V18" i="13"/>
  <c r="T18" i="13"/>
  <c r="N18" i="13"/>
  <c r="K18" i="13"/>
  <c r="I18" i="13"/>
  <c r="F18" i="13"/>
  <c r="O17" i="13"/>
  <c r="M17" i="13"/>
  <c r="J17" i="13"/>
  <c r="G17" i="13"/>
  <c r="E17" i="13"/>
  <c r="V16" i="13"/>
  <c r="T16" i="13"/>
  <c r="N16" i="13"/>
  <c r="K16" i="13"/>
  <c r="I16" i="13"/>
  <c r="F16" i="13"/>
  <c r="U15" i="13"/>
  <c r="O15" i="13"/>
  <c r="M15" i="13"/>
  <c r="M39" i="13"/>
  <c r="O33" i="13"/>
  <c r="E33" i="13"/>
  <c r="K32" i="13"/>
  <c r="U31" i="13"/>
  <c r="G31" i="13"/>
  <c r="N30" i="13"/>
  <c r="J29" i="13"/>
  <c r="T28" i="13"/>
  <c r="F28" i="13"/>
  <c r="M26" i="13"/>
  <c r="V25" i="13"/>
  <c r="I25" i="13"/>
  <c r="O24" i="13"/>
  <c r="E24" i="13"/>
  <c r="K23" i="13"/>
  <c r="U22" i="13"/>
  <c r="G22" i="13"/>
  <c r="T21" i="13"/>
  <c r="K21" i="13"/>
  <c r="F21" i="13"/>
  <c r="U20" i="13"/>
  <c r="M20" i="13"/>
  <c r="G20" i="13"/>
  <c r="V19" i="13"/>
  <c r="N19" i="13"/>
  <c r="I19" i="13"/>
  <c r="O18" i="13"/>
  <c r="J18" i="13"/>
  <c r="E18" i="13"/>
  <c r="T17" i="13"/>
  <c r="K17" i="13"/>
  <c r="F17" i="13"/>
  <c r="U16" i="13"/>
  <c r="M16" i="13"/>
  <c r="G16" i="13"/>
  <c r="V15" i="13"/>
  <c r="N15" i="13"/>
  <c r="J15" i="13"/>
  <c r="G15" i="13"/>
  <c r="V14" i="13"/>
  <c r="T14" i="13"/>
  <c r="N14" i="13"/>
  <c r="K14" i="13"/>
  <c r="I14" i="13"/>
  <c r="F14" i="13"/>
  <c r="U13" i="13"/>
  <c r="O13" i="13"/>
  <c r="M13" i="13"/>
  <c r="J13" i="13"/>
  <c r="G13" i="13"/>
  <c r="E13" i="13"/>
  <c r="U39" i="13"/>
  <c r="G39" i="13"/>
  <c r="J33" i="13"/>
  <c r="T32" i="13"/>
  <c r="F32" i="13"/>
  <c r="M31" i="13"/>
  <c r="V30" i="13"/>
  <c r="I30" i="13"/>
  <c r="O29" i="13"/>
  <c r="E29" i="13"/>
  <c r="K28" i="13"/>
  <c r="U26" i="13"/>
  <c r="G26" i="13"/>
  <c r="N25" i="13"/>
  <c r="J24" i="13"/>
  <c r="T23" i="13"/>
  <c r="F23" i="13"/>
  <c r="M22" i="13"/>
  <c r="V21" i="13"/>
  <c r="N21" i="13"/>
  <c r="I21" i="13"/>
  <c r="O20" i="13"/>
  <c r="J20" i="13"/>
  <c r="E20" i="13"/>
  <c r="T19" i="13"/>
  <c r="K19" i="13"/>
  <c r="F19" i="13"/>
  <c r="U18" i="13"/>
  <c r="M18" i="13"/>
  <c r="G18" i="13"/>
  <c r="V17" i="13"/>
  <c r="N17" i="13"/>
  <c r="I17" i="13"/>
  <c r="O16" i="13"/>
  <c r="J16" i="13"/>
  <c r="E16" i="13"/>
  <c r="T15" i="13"/>
  <c r="K15" i="13"/>
  <c r="I15" i="13"/>
  <c r="F15" i="13"/>
  <c r="U14" i="13"/>
  <c r="O14" i="13"/>
  <c r="M14" i="13"/>
  <c r="J14" i="13"/>
  <c r="G14" i="13"/>
  <c r="E14" i="13"/>
  <c r="V13" i="13"/>
  <c r="T13" i="13"/>
  <c r="N13" i="13"/>
  <c r="K13" i="13"/>
  <c r="I13" i="13"/>
  <c r="F13" i="13"/>
  <c r="E12" i="13"/>
  <c r="G12" i="13"/>
  <c r="J12" i="13"/>
  <c r="M12" i="13"/>
  <c r="O12" i="13"/>
  <c r="U12" i="13"/>
  <c r="F12" i="13"/>
  <c r="I12" i="13"/>
  <c r="K12" i="13"/>
  <c r="N12" i="13"/>
  <c r="T12" i="13"/>
  <c r="V12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H58" i="14" l="1"/>
  <c r="H71" i="14"/>
  <c r="H49" i="13" s="1"/>
  <c r="H50" i="13" s="1"/>
  <c r="H38" i="14"/>
  <c r="H4" i="14"/>
  <c r="E40" i="13"/>
  <c r="D39" i="13"/>
  <c r="I107" i="13"/>
  <c r="V107" i="13"/>
  <c r="V27" i="13"/>
  <c r="N27" i="13"/>
  <c r="I27" i="13"/>
  <c r="U27" i="13"/>
  <c r="M27" i="13"/>
  <c r="G27" i="13"/>
  <c r="D14" i="13"/>
  <c r="D16" i="13"/>
  <c r="D20" i="13"/>
  <c r="D29" i="13"/>
  <c r="K67" i="13"/>
  <c r="U67" i="13"/>
  <c r="N67" i="13"/>
  <c r="G67" i="13"/>
  <c r="F67" i="13"/>
  <c r="V67" i="13"/>
  <c r="J67" i="13"/>
  <c r="F107" i="13"/>
  <c r="T107" i="13"/>
  <c r="E107" i="13"/>
  <c r="J107" i="13"/>
  <c r="O107" i="13"/>
  <c r="M67" i="13"/>
  <c r="T67" i="13"/>
  <c r="I67" i="13"/>
  <c r="E67" i="13"/>
  <c r="O67" i="13"/>
  <c r="N107" i="13"/>
  <c r="K107" i="13"/>
  <c r="G107" i="13"/>
  <c r="M107" i="13"/>
  <c r="U107" i="13"/>
  <c r="W107" i="13"/>
  <c r="W67" i="13"/>
  <c r="J40" i="13"/>
  <c r="E74" i="13"/>
  <c r="W27" i="13"/>
  <c r="T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92" i="13"/>
  <c r="D53" i="13"/>
  <c r="D56" i="13"/>
  <c r="D73" i="13"/>
  <c r="D99" i="13"/>
  <c r="D101" i="13"/>
  <c r="D102" i="13"/>
  <c r="D106" i="13"/>
  <c r="D111" i="13"/>
  <c r="D59" i="13"/>
  <c r="D62" i="13"/>
  <c r="D71" i="13"/>
  <c r="D63" i="13"/>
  <c r="D72" i="13"/>
  <c r="D66" i="13"/>
  <c r="D52" i="13"/>
  <c r="D58" i="13"/>
  <c r="D61" i="13"/>
  <c r="D65" i="13"/>
  <c r="D70" i="13"/>
  <c r="D95" i="13"/>
  <c r="D93" i="13"/>
  <c r="D97" i="13"/>
  <c r="D55" i="13"/>
  <c r="D54" i="13"/>
  <c r="D57" i="13"/>
  <c r="D60" i="13"/>
  <c r="D64" i="13"/>
  <c r="D68" i="13"/>
  <c r="D69" i="13"/>
  <c r="D94" i="13"/>
  <c r="D96" i="13"/>
  <c r="D98" i="13"/>
  <c r="D100" i="13"/>
  <c r="D104" i="13"/>
  <c r="D109" i="13"/>
  <c r="D113" i="13"/>
  <c r="D103" i="13"/>
  <c r="D105" i="13"/>
  <c r="D108" i="13"/>
  <c r="D110" i="13"/>
  <c r="D112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H3" i="14" l="1"/>
  <c r="H9" i="13" s="1"/>
  <c r="H10" i="13" s="1"/>
  <c r="E41" i="13"/>
  <c r="E6" i="13"/>
  <c r="F86" i="14"/>
  <c r="W86" i="14"/>
  <c r="O86" i="14"/>
  <c r="V86" i="14"/>
  <c r="U86" i="14"/>
  <c r="M86" i="14"/>
  <c r="F59" i="14" l="1"/>
  <c r="N59" i="14"/>
  <c r="V59" i="14"/>
  <c r="J59" i="14"/>
  <c r="M59" i="14"/>
  <c r="O59" i="14"/>
  <c r="U59" i="14"/>
  <c r="J63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K105" i="14" l="1"/>
  <c r="K101" i="14"/>
  <c r="K96" i="14"/>
  <c r="K88" i="14"/>
  <c r="K83" i="14"/>
  <c r="K78" i="14"/>
  <c r="K74" i="14"/>
  <c r="K104" i="14"/>
  <c r="K99" i="14"/>
  <c r="K95" i="14"/>
  <c r="K87" i="14"/>
  <c r="K82" i="14"/>
  <c r="K77" i="14"/>
  <c r="K73" i="14"/>
  <c r="K108" i="14"/>
  <c r="K103" i="14"/>
  <c r="K98" i="14"/>
  <c r="K94" i="14"/>
  <c r="K85" i="14"/>
  <c r="K81" i="14"/>
  <c r="K76" i="14"/>
  <c r="K107" i="14"/>
  <c r="K102" i="14"/>
  <c r="K97" i="14"/>
  <c r="K93" i="14"/>
  <c r="K84" i="14"/>
  <c r="K79" i="14"/>
  <c r="K75" i="14"/>
  <c r="K55" i="14"/>
  <c r="K32" i="14"/>
  <c r="K12" i="14"/>
  <c r="K18" i="14"/>
  <c r="K56" i="14"/>
  <c r="K52" i="14"/>
  <c r="K29" i="14"/>
  <c r="K10" i="14"/>
  <c r="K24" i="14"/>
  <c r="K54" i="14"/>
  <c r="K31" i="14"/>
  <c r="K6" i="14"/>
  <c r="K48" i="14"/>
  <c r="K27" i="14"/>
  <c r="K7" i="14"/>
  <c r="K8" i="14"/>
  <c r="K68" i="14"/>
  <c r="K46" i="14"/>
  <c r="K25" i="14"/>
  <c r="K11" i="14"/>
  <c r="K13" i="14"/>
  <c r="K47" i="14"/>
  <c r="K26" i="14"/>
  <c r="K45" i="14"/>
  <c r="K66" i="14"/>
  <c r="K44" i="14"/>
  <c r="K22" i="14"/>
  <c r="K50" i="14"/>
  <c r="K67" i="14"/>
  <c r="K64" i="14"/>
  <c r="K41" i="14"/>
  <c r="K20" i="14"/>
  <c r="K40" i="14"/>
  <c r="K65" i="14"/>
  <c r="K43" i="14"/>
  <c r="K21" i="14"/>
  <c r="K61" i="14"/>
  <c r="K37" i="14"/>
  <c r="K17" i="14"/>
  <c r="K34" i="14"/>
  <c r="K62" i="14"/>
  <c r="K57" i="14"/>
  <c r="K35" i="14"/>
  <c r="K14" i="14"/>
  <c r="K28" i="14"/>
  <c r="K60" i="14"/>
  <c r="K36" i="14"/>
  <c r="K16" i="14"/>
  <c r="I108" i="14"/>
  <c r="I107" i="14"/>
  <c r="I105" i="14"/>
  <c r="I104" i="14"/>
  <c r="I103" i="14"/>
  <c r="I102" i="14"/>
  <c r="I101" i="14"/>
  <c r="I99" i="14"/>
  <c r="I98" i="14"/>
  <c r="I97" i="14"/>
  <c r="I96" i="14"/>
  <c r="I95" i="14"/>
  <c r="I94" i="14"/>
  <c r="I93" i="14"/>
  <c r="I88" i="14"/>
  <c r="I87" i="14"/>
  <c r="I85" i="14"/>
  <c r="I84" i="14"/>
  <c r="I83" i="14"/>
  <c r="I82" i="14"/>
  <c r="I81" i="14"/>
  <c r="I79" i="14"/>
  <c r="I78" i="14"/>
  <c r="I77" i="14"/>
  <c r="I76" i="14"/>
  <c r="I75" i="14"/>
  <c r="I74" i="14"/>
  <c r="I73" i="14"/>
  <c r="I67" i="14"/>
  <c r="I62" i="14"/>
  <c r="I56" i="14"/>
  <c r="I50" i="14"/>
  <c r="I45" i="14"/>
  <c r="I40" i="14"/>
  <c r="I34" i="14"/>
  <c r="I28" i="14"/>
  <c r="I24" i="14"/>
  <c r="I18" i="14"/>
  <c r="I13" i="14"/>
  <c r="I8" i="14"/>
  <c r="I36" i="14"/>
  <c r="I16" i="14"/>
  <c r="I6" i="14"/>
  <c r="I44" i="14"/>
  <c r="I17" i="14"/>
  <c r="I68" i="14"/>
  <c r="I64" i="14"/>
  <c r="I57" i="14"/>
  <c r="I52" i="14"/>
  <c r="I46" i="14"/>
  <c r="I41" i="14"/>
  <c r="I35" i="14"/>
  <c r="I29" i="14"/>
  <c r="I25" i="14"/>
  <c r="I20" i="14"/>
  <c r="I14" i="14"/>
  <c r="I10" i="14"/>
  <c r="I60" i="14"/>
  <c r="I54" i="14"/>
  <c r="I47" i="14"/>
  <c r="I43" i="14"/>
  <c r="I31" i="14"/>
  <c r="I27" i="14"/>
  <c r="I7" i="14"/>
  <c r="I65" i="14"/>
  <c r="I26" i="14"/>
  <c r="I21" i="14"/>
  <c r="I11" i="14"/>
  <c r="I37" i="14"/>
  <c r="I32" i="14"/>
  <c r="I22" i="14"/>
  <c r="I66" i="14"/>
  <c r="I61" i="14"/>
  <c r="I55" i="14"/>
  <c r="I48" i="14"/>
  <c r="I12" i="14"/>
  <c r="T107" i="14"/>
  <c r="T102" i="14"/>
  <c r="T97" i="14"/>
  <c r="T93" i="14"/>
  <c r="T84" i="14"/>
  <c r="T79" i="14"/>
  <c r="T75" i="14"/>
  <c r="T105" i="14"/>
  <c r="T101" i="14"/>
  <c r="T96" i="14"/>
  <c r="T88" i="14"/>
  <c r="T83" i="14"/>
  <c r="T78" i="14"/>
  <c r="T74" i="14"/>
  <c r="T104" i="14"/>
  <c r="T99" i="14"/>
  <c r="T95" i="14"/>
  <c r="T87" i="14"/>
  <c r="T82" i="14"/>
  <c r="T77" i="14"/>
  <c r="T73" i="14"/>
  <c r="T108" i="14"/>
  <c r="T103" i="14"/>
  <c r="T98" i="14"/>
  <c r="T94" i="14"/>
  <c r="T85" i="14"/>
  <c r="T81" i="14"/>
  <c r="T76" i="14"/>
  <c r="T12" i="14"/>
  <c r="T16" i="14"/>
  <c r="T14" i="14"/>
  <c r="T13" i="14"/>
  <c r="T7" i="14"/>
  <c r="T6" i="14"/>
  <c r="T68" i="14"/>
  <c r="T67" i="14"/>
  <c r="T66" i="14"/>
  <c r="T65" i="14"/>
  <c r="T64" i="14"/>
  <c r="T62" i="14"/>
  <c r="T61" i="14"/>
  <c r="T60" i="14"/>
  <c r="T57" i="14"/>
  <c r="T56" i="14"/>
  <c r="T55" i="14"/>
  <c r="T54" i="14"/>
  <c r="T52" i="14"/>
  <c r="T50" i="14"/>
  <c r="T48" i="14"/>
  <c r="T47" i="14"/>
  <c r="T46" i="14"/>
  <c r="T45" i="14"/>
  <c r="T44" i="14"/>
  <c r="T43" i="14"/>
  <c r="T41" i="14"/>
  <c r="T40" i="14"/>
  <c r="T37" i="14"/>
  <c r="T36" i="14"/>
  <c r="T35" i="14"/>
  <c r="T34" i="14"/>
  <c r="T32" i="14"/>
  <c r="T31" i="14"/>
  <c r="T29" i="14"/>
  <c r="T28" i="14"/>
  <c r="T27" i="14"/>
  <c r="T26" i="14"/>
  <c r="T25" i="14"/>
  <c r="T24" i="14"/>
  <c r="T22" i="14"/>
  <c r="T21" i="14"/>
  <c r="T20" i="14"/>
  <c r="T18" i="14"/>
  <c r="T17" i="14"/>
  <c r="T11" i="14"/>
  <c r="T10" i="14"/>
  <c r="T8" i="14"/>
  <c r="G108" i="14"/>
  <c r="G105" i="14"/>
  <c r="G103" i="14"/>
  <c r="G101" i="14"/>
  <c r="G98" i="14"/>
  <c r="G96" i="14"/>
  <c r="G94" i="14"/>
  <c r="G88" i="14"/>
  <c r="G85" i="14"/>
  <c r="G83" i="14"/>
  <c r="G81" i="14"/>
  <c r="G78" i="14"/>
  <c r="G107" i="14"/>
  <c r="G104" i="14"/>
  <c r="G102" i="14"/>
  <c r="G99" i="14"/>
  <c r="G97" i="14"/>
  <c r="G95" i="14"/>
  <c r="G93" i="14"/>
  <c r="G87" i="14"/>
  <c r="G84" i="14"/>
  <c r="G82" i="14"/>
  <c r="G79" i="14"/>
  <c r="G77" i="14"/>
  <c r="G75" i="14"/>
  <c r="G73" i="14"/>
  <c r="G76" i="14"/>
  <c r="G74" i="14"/>
  <c r="G18" i="14"/>
  <c r="G66" i="14"/>
  <c r="G61" i="14"/>
  <c r="G55" i="14"/>
  <c r="G48" i="14"/>
  <c r="G44" i="14"/>
  <c r="G37" i="14"/>
  <c r="G32" i="14"/>
  <c r="G27" i="14"/>
  <c r="G22" i="14"/>
  <c r="G17" i="14"/>
  <c r="G12" i="14"/>
  <c r="G7" i="14"/>
  <c r="G24" i="14"/>
  <c r="G65" i="14"/>
  <c r="G60" i="14"/>
  <c r="G54" i="14"/>
  <c r="G47" i="14"/>
  <c r="G43" i="14"/>
  <c r="G36" i="14"/>
  <c r="G31" i="14"/>
  <c r="G26" i="14"/>
  <c r="G21" i="14"/>
  <c r="G16" i="14"/>
  <c r="G11" i="14"/>
  <c r="G6" i="14"/>
  <c r="G56" i="14"/>
  <c r="G50" i="14"/>
  <c r="G49" i="14" s="1"/>
  <c r="G45" i="14"/>
  <c r="G34" i="14"/>
  <c r="G28" i="14"/>
  <c r="G68" i="14"/>
  <c r="G64" i="14"/>
  <c r="G57" i="14"/>
  <c r="G52" i="14"/>
  <c r="G46" i="14"/>
  <c r="G41" i="14"/>
  <c r="G35" i="14"/>
  <c r="G29" i="14"/>
  <c r="G25" i="14"/>
  <c r="G20" i="14"/>
  <c r="G14" i="14"/>
  <c r="G10" i="14"/>
  <c r="G67" i="14"/>
  <c r="G62" i="14"/>
  <c r="G40" i="14"/>
  <c r="G13" i="14"/>
  <c r="G8" i="14"/>
  <c r="E54" i="14"/>
  <c r="E40" i="14"/>
  <c r="E6" i="14"/>
  <c r="E61" i="14"/>
  <c r="E48" i="14"/>
  <c r="E37" i="14"/>
  <c r="E27" i="14"/>
  <c r="E17" i="14"/>
  <c r="E7" i="14"/>
  <c r="E60" i="14"/>
  <c r="E26" i="14"/>
  <c r="E24" i="14"/>
  <c r="E47" i="14"/>
  <c r="E34" i="14"/>
  <c r="E68" i="14"/>
  <c r="E57" i="14"/>
  <c r="E46" i="14"/>
  <c r="E35" i="14"/>
  <c r="E25" i="14"/>
  <c r="E14" i="14"/>
  <c r="E67" i="14"/>
  <c r="E56" i="14"/>
  <c r="E11" i="14"/>
  <c r="E16" i="14"/>
  <c r="E45" i="14"/>
  <c r="E21" i="14"/>
  <c r="E66" i="14"/>
  <c r="E55" i="14"/>
  <c r="E44" i="14"/>
  <c r="E32" i="14"/>
  <c r="E22" i="14"/>
  <c r="E12" i="14"/>
  <c r="E65" i="14"/>
  <c r="E50" i="14"/>
  <c r="E49" i="14" s="1"/>
  <c r="E36" i="14"/>
  <c r="E13" i="14"/>
  <c r="E43" i="14"/>
  <c r="E42" i="14" s="1"/>
  <c r="E18" i="14"/>
  <c r="E64" i="14"/>
  <c r="E52" i="14"/>
  <c r="E41" i="14"/>
  <c r="E29" i="14"/>
  <c r="E20" i="14"/>
  <c r="E10" i="14"/>
  <c r="E62" i="14"/>
  <c r="E28" i="14"/>
  <c r="E31" i="14"/>
  <c r="E8" i="14"/>
  <c r="E105" i="14"/>
  <c r="E101" i="14"/>
  <c r="E96" i="14"/>
  <c r="E88" i="14"/>
  <c r="E83" i="14"/>
  <c r="E78" i="14"/>
  <c r="E74" i="14"/>
  <c r="E99" i="14"/>
  <c r="E87" i="14"/>
  <c r="E82" i="14"/>
  <c r="E107" i="14"/>
  <c r="E102" i="14"/>
  <c r="E97" i="14"/>
  <c r="E93" i="14"/>
  <c r="E84" i="14"/>
  <c r="E79" i="14"/>
  <c r="E75" i="14"/>
  <c r="E95" i="14"/>
  <c r="E77" i="14"/>
  <c r="E73" i="14"/>
  <c r="E108" i="14"/>
  <c r="E103" i="14"/>
  <c r="E98" i="14"/>
  <c r="E94" i="14"/>
  <c r="E85" i="14"/>
  <c r="E81" i="14"/>
  <c r="E76" i="14"/>
  <c r="E104" i="14"/>
  <c r="S106" i="14"/>
  <c r="S51" i="14"/>
  <c r="S49" i="14"/>
  <c r="S39" i="14"/>
  <c r="L86" i="14"/>
  <c r="L72" i="14"/>
  <c r="L51" i="14"/>
  <c r="N86" i="14"/>
  <c r="K106" i="14" l="1"/>
  <c r="K92" i="14"/>
  <c r="K86" i="14"/>
  <c r="G106" i="14"/>
  <c r="K59" i="14"/>
  <c r="K100" i="14"/>
  <c r="D16" i="14"/>
  <c r="D55" i="14"/>
  <c r="D48" i="14"/>
  <c r="D54" i="14"/>
  <c r="D66" i="14"/>
  <c r="D44" i="14"/>
  <c r="I86" i="14"/>
  <c r="I106" i="14"/>
  <c r="D95" i="14"/>
  <c r="I92" i="14"/>
  <c r="I100" i="14"/>
  <c r="I59" i="14"/>
  <c r="D108" i="14"/>
  <c r="D102" i="14"/>
  <c r="D57" i="14"/>
  <c r="D17" i="14"/>
  <c r="D61" i="14"/>
  <c r="D35" i="14"/>
  <c r="D41" i="14"/>
  <c r="D85" i="14"/>
  <c r="T86" i="14"/>
  <c r="G86" i="14"/>
  <c r="D75" i="14"/>
  <c r="D18" i="14"/>
  <c r="D37" i="14"/>
  <c r="D62" i="14"/>
  <c r="D45" i="14"/>
  <c r="T92" i="14"/>
  <c r="T59" i="14"/>
  <c r="T100" i="14"/>
  <c r="T106" i="14"/>
  <c r="D83" i="14"/>
  <c r="D20" i="14"/>
  <c r="D27" i="14"/>
  <c r="D22" i="14"/>
  <c r="D26" i="14"/>
  <c r="D6" i="14"/>
  <c r="D47" i="14"/>
  <c r="D65" i="14"/>
  <c r="D29" i="14"/>
  <c r="D103" i="14"/>
  <c r="D68" i="14"/>
  <c r="D60" i="14"/>
  <c r="G9" i="14"/>
  <c r="D32" i="14"/>
  <c r="D25" i="14"/>
  <c r="D56" i="14"/>
  <c r="D21" i="14"/>
  <c r="D36" i="14"/>
  <c r="D28" i="14"/>
  <c r="D67" i="14"/>
  <c r="D46" i="14"/>
  <c r="G59" i="14"/>
  <c r="G100" i="14"/>
  <c r="G92" i="14"/>
  <c r="D43" i="14"/>
  <c r="E63" i="14"/>
  <c r="E30" i="14"/>
  <c r="D31" i="14"/>
  <c r="E33" i="14"/>
  <c r="E39" i="14"/>
  <c r="E106" i="14"/>
  <c r="E92" i="14"/>
  <c r="E100" i="14"/>
  <c r="D52" i="14"/>
  <c r="S23" i="14"/>
  <c r="S33" i="14"/>
  <c r="D24" i="14"/>
  <c r="S92" i="14"/>
  <c r="S30" i="14"/>
  <c r="S42" i="14"/>
  <c r="S53" i="14"/>
  <c r="S9" i="14"/>
  <c r="S19" i="14"/>
  <c r="S63" i="14"/>
  <c r="S100" i="14"/>
  <c r="S15" i="14"/>
  <c r="S59" i="14"/>
  <c r="S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49" i="13" s="1"/>
  <c r="L50" i="13" s="1"/>
  <c r="L91" i="14"/>
  <c r="L89" i="13" s="1"/>
  <c r="L90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S72" i="14"/>
  <c r="S80" i="14"/>
  <c r="S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S4" i="14" l="1"/>
  <c r="S38" i="14"/>
  <c r="S58" i="14"/>
  <c r="D59" i="14"/>
  <c r="L4" i="14"/>
  <c r="L58" i="14"/>
  <c r="L38" i="14"/>
  <c r="D86" i="14"/>
  <c r="S91" i="14"/>
  <c r="S89" i="13" s="1"/>
  <c r="S90" i="13" s="1"/>
  <c r="S71" i="14"/>
  <c r="S49" i="13" s="1"/>
  <c r="S50" i="13" s="1"/>
  <c r="G63" i="14"/>
  <c r="I63" i="14"/>
  <c r="K63" i="14"/>
  <c r="M63" i="14"/>
  <c r="N63" i="14"/>
  <c r="O63" i="14"/>
  <c r="T63" i="14"/>
  <c r="U63" i="14"/>
  <c r="V63" i="14"/>
  <c r="W63" i="14"/>
  <c r="S3" i="14" l="1"/>
  <c r="S9" i="13" s="1"/>
  <c r="S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U58" i="14"/>
  <c r="W58" i="14"/>
  <c r="W80" i="14"/>
  <c r="V80" i="14"/>
  <c r="U80" i="14"/>
  <c r="T80" i="14"/>
  <c r="O80" i="14"/>
  <c r="N80" i="14"/>
  <c r="M80" i="14"/>
  <c r="K80" i="14"/>
  <c r="J80" i="14"/>
  <c r="I80" i="14"/>
  <c r="G80" i="14"/>
  <c r="F80" i="14"/>
  <c r="E80" i="14"/>
  <c r="W72" i="14"/>
  <c r="V72" i="14"/>
  <c r="U72" i="14"/>
  <c r="T72" i="14"/>
  <c r="O72" i="14"/>
  <c r="N72" i="14"/>
  <c r="M72" i="14"/>
  <c r="K72" i="14"/>
  <c r="J72" i="14"/>
  <c r="I72" i="14"/>
  <c r="G72" i="14"/>
  <c r="F72" i="14"/>
  <c r="W53" i="14"/>
  <c r="V53" i="14"/>
  <c r="U53" i="14"/>
  <c r="T53" i="14"/>
  <c r="O53" i="14"/>
  <c r="N53" i="14"/>
  <c r="M53" i="14"/>
  <c r="K53" i="14"/>
  <c r="J53" i="14"/>
  <c r="I53" i="14"/>
  <c r="G53" i="14"/>
  <c r="F53" i="14"/>
  <c r="E53" i="14"/>
  <c r="W51" i="14"/>
  <c r="V51" i="14"/>
  <c r="U51" i="14"/>
  <c r="T51" i="14"/>
  <c r="O51" i="14"/>
  <c r="N51" i="14"/>
  <c r="M51" i="14"/>
  <c r="K51" i="14"/>
  <c r="J51" i="14"/>
  <c r="I51" i="14"/>
  <c r="G51" i="14"/>
  <c r="F51" i="14"/>
  <c r="E51" i="14"/>
  <c r="W49" i="14"/>
  <c r="V49" i="14"/>
  <c r="U49" i="14"/>
  <c r="T49" i="14"/>
  <c r="O49" i="14"/>
  <c r="N49" i="14"/>
  <c r="M49" i="14"/>
  <c r="K49" i="14"/>
  <c r="J49" i="14"/>
  <c r="I49" i="14"/>
  <c r="W42" i="14"/>
  <c r="V42" i="14"/>
  <c r="U42" i="14"/>
  <c r="T42" i="14"/>
  <c r="O42" i="14"/>
  <c r="N42" i="14"/>
  <c r="M42" i="14"/>
  <c r="K42" i="14"/>
  <c r="J42" i="14"/>
  <c r="I42" i="14"/>
  <c r="G42" i="14"/>
  <c r="F42" i="14"/>
  <c r="W39" i="14"/>
  <c r="V39" i="14"/>
  <c r="U39" i="14"/>
  <c r="T39" i="14"/>
  <c r="O39" i="14"/>
  <c r="N39" i="14"/>
  <c r="M39" i="14"/>
  <c r="K39" i="14"/>
  <c r="J39" i="14"/>
  <c r="I39" i="14"/>
  <c r="G39" i="14"/>
  <c r="F39" i="14"/>
  <c r="W33" i="14"/>
  <c r="V33" i="14"/>
  <c r="U33" i="14"/>
  <c r="T33" i="14"/>
  <c r="O33" i="14"/>
  <c r="N33" i="14"/>
  <c r="M33" i="14"/>
  <c r="K33" i="14"/>
  <c r="J33" i="14"/>
  <c r="I33" i="14"/>
  <c r="G33" i="14"/>
  <c r="F33" i="14"/>
  <c r="W30" i="14"/>
  <c r="V30" i="14"/>
  <c r="U30" i="14"/>
  <c r="T30" i="14"/>
  <c r="O30" i="14"/>
  <c r="N30" i="14"/>
  <c r="M30" i="14"/>
  <c r="K30" i="14"/>
  <c r="J30" i="14"/>
  <c r="I30" i="14"/>
  <c r="G30" i="14"/>
  <c r="F30" i="14"/>
  <c r="W23" i="14"/>
  <c r="V23" i="14"/>
  <c r="U23" i="14"/>
  <c r="T23" i="14"/>
  <c r="O23" i="14"/>
  <c r="N23" i="14"/>
  <c r="M23" i="14"/>
  <c r="K23" i="14"/>
  <c r="J23" i="14"/>
  <c r="I23" i="14"/>
  <c r="G23" i="14"/>
  <c r="F23" i="14"/>
  <c r="E23" i="14"/>
  <c r="W19" i="14"/>
  <c r="V19" i="14"/>
  <c r="U19" i="14"/>
  <c r="T19" i="14"/>
  <c r="O19" i="14"/>
  <c r="N19" i="14"/>
  <c r="M19" i="14"/>
  <c r="K19" i="14"/>
  <c r="J19" i="14"/>
  <c r="I19" i="14"/>
  <c r="G19" i="14"/>
  <c r="F19" i="14"/>
  <c r="W15" i="14"/>
  <c r="V15" i="14"/>
  <c r="U15" i="14"/>
  <c r="T15" i="14"/>
  <c r="O15" i="14"/>
  <c r="N15" i="14"/>
  <c r="M15" i="14"/>
  <c r="K15" i="14"/>
  <c r="J15" i="14"/>
  <c r="I15" i="14"/>
  <c r="G15" i="14"/>
  <c r="F15" i="14"/>
  <c r="E15" i="14"/>
  <c r="W9" i="14"/>
  <c r="V9" i="14"/>
  <c r="U9" i="14"/>
  <c r="T9" i="14"/>
  <c r="O9" i="14"/>
  <c r="N9" i="14"/>
  <c r="M9" i="14"/>
  <c r="K9" i="14"/>
  <c r="J9" i="14"/>
  <c r="I9" i="14"/>
  <c r="F9" i="14"/>
  <c r="E9" i="14"/>
  <c r="W5" i="14"/>
  <c r="V5" i="14"/>
  <c r="U5" i="14"/>
  <c r="T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T4" i="14"/>
  <c r="V4" i="14"/>
  <c r="G38" i="14"/>
  <c r="J38" i="14"/>
  <c r="M38" i="14"/>
  <c r="O38" i="14"/>
  <c r="U38" i="14"/>
  <c r="W38" i="14"/>
  <c r="F38" i="14"/>
  <c r="I38" i="14"/>
  <c r="K38" i="14"/>
  <c r="N38" i="14"/>
  <c r="T38" i="14"/>
  <c r="V38" i="14"/>
  <c r="G4" i="14"/>
  <c r="J4" i="14"/>
  <c r="M4" i="14"/>
  <c r="O4" i="14"/>
  <c r="U4" i="14"/>
  <c r="W4" i="14"/>
  <c r="E4" i="14"/>
  <c r="N91" i="14"/>
  <c r="N89" i="13" s="1"/>
  <c r="G91" i="14"/>
  <c r="G89" i="13" s="1"/>
  <c r="M91" i="14"/>
  <c r="M89" i="13" s="1"/>
  <c r="U91" i="14"/>
  <c r="U89" i="13" s="1"/>
  <c r="G71" i="14"/>
  <c r="G49" i="13" s="1"/>
  <c r="M71" i="14"/>
  <c r="M49" i="13" s="1"/>
  <c r="U71" i="14"/>
  <c r="U49" i="13" s="1"/>
  <c r="I71" i="14"/>
  <c r="I49" i="13" s="1"/>
  <c r="N71" i="14"/>
  <c r="N49" i="13" s="1"/>
  <c r="V71" i="14"/>
  <c r="V49" i="13" s="1"/>
  <c r="I91" i="14"/>
  <c r="I89" i="13" s="1"/>
  <c r="V91" i="14"/>
  <c r="V89" i="13" s="1"/>
  <c r="E91" i="14"/>
  <c r="F71" i="14"/>
  <c r="F49" i="13" s="1"/>
  <c r="K71" i="14"/>
  <c r="K49" i="13" s="1"/>
  <c r="T71" i="14"/>
  <c r="T49" i="13" s="1"/>
  <c r="J71" i="14"/>
  <c r="J49" i="13" s="1"/>
  <c r="O71" i="14"/>
  <c r="O49" i="13" s="1"/>
  <c r="W71" i="14"/>
  <c r="W49" i="13" s="1"/>
  <c r="F91" i="14"/>
  <c r="F89" i="13" s="1"/>
  <c r="K91" i="14"/>
  <c r="K89" i="13" s="1"/>
  <c r="T91" i="14"/>
  <c r="T89" i="13" s="1"/>
  <c r="J91" i="14"/>
  <c r="J89" i="13" s="1"/>
  <c r="O91" i="14"/>
  <c r="O89" i="13" s="1"/>
  <c r="W91" i="14"/>
  <c r="W89" i="13" s="1"/>
  <c r="E71" i="14"/>
  <c r="D28" i="12"/>
  <c r="V58" i="14"/>
  <c r="N58" i="14"/>
  <c r="I58" i="14"/>
  <c r="E58" i="14"/>
  <c r="T58" i="14"/>
  <c r="K58" i="14"/>
  <c r="F58" i="14"/>
  <c r="D71" i="14" l="1"/>
  <c r="D58" i="14"/>
  <c r="C28" i="12" s="1"/>
  <c r="E89" i="13"/>
  <c r="D91" i="14"/>
  <c r="D38" i="14"/>
  <c r="D4" i="14"/>
  <c r="Q90" i="13"/>
  <c r="Q50" i="13"/>
  <c r="E3" i="14"/>
  <c r="W3" i="14"/>
  <c r="W9" i="13" s="1"/>
  <c r="J3" i="14"/>
  <c r="J9" i="13" s="1"/>
  <c r="O3" i="14"/>
  <c r="O9" i="13" s="1"/>
  <c r="E49" i="13"/>
  <c r="T3" i="14"/>
  <c r="T9" i="13" s="1"/>
  <c r="V3" i="14"/>
  <c r="V9" i="13" s="1"/>
  <c r="G3" i="14"/>
  <c r="G9" i="13" s="1"/>
  <c r="K3" i="14"/>
  <c r="K9" i="13" s="1"/>
  <c r="U3" i="14"/>
  <c r="U9" i="13" s="1"/>
  <c r="M3" i="14"/>
  <c r="M9" i="13" s="1"/>
  <c r="N3" i="14"/>
  <c r="N9" i="13" s="1"/>
  <c r="I3" i="14"/>
  <c r="I9" i="13" s="1"/>
  <c r="F3" i="14"/>
  <c r="E9" i="13" l="1"/>
  <c r="E10" i="13" s="1"/>
  <c r="D3" i="14"/>
  <c r="D89" i="13"/>
  <c r="Q10" i="13"/>
  <c r="D49" i="13"/>
  <c r="C19" i="12"/>
  <c r="C18" i="12"/>
  <c r="F9" i="13"/>
  <c r="D9" i="13" l="1"/>
  <c r="C17" i="12"/>
  <c r="I120" i="13" l="1"/>
  <c r="J120" i="13"/>
  <c r="N120" i="13"/>
  <c r="O120" i="13"/>
  <c r="V120" i="13"/>
  <c r="W120" i="13"/>
  <c r="U120" i="13"/>
  <c r="T120" i="13"/>
  <c r="M120" i="13"/>
  <c r="G120" i="13"/>
  <c r="F120" i="13"/>
  <c r="W80" i="13"/>
  <c r="V80" i="13"/>
  <c r="U80" i="13"/>
  <c r="T80" i="13"/>
  <c r="N80" i="13"/>
  <c r="M80" i="13"/>
  <c r="K80" i="13"/>
  <c r="I80" i="13"/>
  <c r="G80" i="13"/>
  <c r="D80" i="13" l="1"/>
  <c r="D120" i="13"/>
  <c r="E27" i="12" s="1"/>
  <c r="E29" i="12" s="1"/>
  <c r="D27" i="12" l="1"/>
  <c r="D29" i="12" s="1"/>
  <c r="F114" i="13"/>
  <c r="F74" i="13"/>
  <c r="F40" i="13"/>
  <c r="F34" i="13"/>
  <c r="W114" i="13"/>
  <c r="V114" i="13"/>
  <c r="U114" i="13"/>
  <c r="T114" i="13"/>
  <c r="O114" i="13"/>
  <c r="N114" i="13"/>
  <c r="M114" i="13"/>
  <c r="K114" i="13"/>
  <c r="J114" i="13"/>
  <c r="I114" i="13"/>
  <c r="G114" i="13"/>
  <c r="E114" i="13"/>
  <c r="E121" i="13" s="1"/>
  <c r="W74" i="13"/>
  <c r="V74" i="13"/>
  <c r="U74" i="13"/>
  <c r="T74" i="13"/>
  <c r="O74" i="13"/>
  <c r="N74" i="13"/>
  <c r="M74" i="13"/>
  <c r="K74" i="13"/>
  <c r="J74" i="13"/>
  <c r="I74" i="13"/>
  <c r="G74" i="13"/>
  <c r="W40" i="13"/>
  <c r="V40" i="13"/>
  <c r="U40" i="13"/>
  <c r="T40" i="13"/>
  <c r="O40" i="13"/>
  <c r="N40" i="13"/>
  <c r="M40" i="13"/>
  <c r="K40" i="13"/>
  <c r="I40" i="13"/>
  <c r="G40" i="13"/>
  <c r="W34" i="13"/>
  <c r="W6" i="13" s="1"/>
  <c r="W8" i="13" s="1"/>
  <c r="V34" i="13"/>
  <c r="U34" i="13"/>
  <c r="T34" i="13"/>
  <c r="O34" i="13"/>
  <c r="N34" i="13"/>
  <c r="M34" i="13"/>
  <c r="K34" i="13"/>
  <c r="J34" i="13"/>
  <c r="I34" i="13"/>
  <c r="I6" i="13" s="1"/>
  <c r="I8" i="13" s="1"/>
  <c r="I10" i="13" s="1"/>
  <c r="G34" i="13"/>
  <c r="E17" i="12"/>
  <c r="D17" i="12"/>
  <c r="D114" i="13" l="1"/>
  <c r="E16" i="12" s="1"/>
  <c r="D74" i="13"/>
  <c r="D16" i="12" s="1"/>
  <c r="D34" i="13"/>
  <c r="C16" i="12" s="1"/>
  <c r="D27" i="13"/>
  <c r="C15" i="12" s="1"/>
  <c r="D40" i="13"/>
  <c r="C27" i="12" s="1"/>
  <c r="C29" i="12" s="1"/>
  <c r="M41" i="13"/>
  <c r="M81" i="13"/>
  <c r="D107" i="13"/>
  <c r="E15" i="12" s="1"/>
  <c r="W41" i="13"/>
  <c r="D67" i="13"/>
  <c r="D15" i="12" s="1"/>
  <c r="I86" i="13"/>
  <c r="I88" i="13" s="1"/>
  <c r="I90" i="13" s="1"/>
  <c r="N86" i="13"/>
  <c r="N88" i="13" s="1"/>
  <c r="N90" i="13" s="1"/>
  <c r="G86" i="13"/>
  <c r="G88" i="13" s="1"/>
  <c r="G90" i="13" s="1"/>
  <c r="M86" i="13"/>
  <c r="M88" i="13" s="1"/>
  <c r="M90" i="13" s="1"/>
  <c r="U86" i="13"/>
  <c r="U88" i="13" s="1"/>
  <c r="U90" i="13" s="1"/>
  <c r="J86" i="13"/>
  <c r="J88" i="13" s="1"/>
  <c r="J90" i="13" s="1"/>
  <c r="W121" i="13"/>
  <c r="V86" i="13"/>
  <c r="V88" i="13" s="1"/>
  <c r="V90" i="13" s="1"/>
  <c r="V121" i="13"/>
  <c r="K6" i="13"/>
  <c r="K8" i="13" s="1"/>
  <c r="K10" i="13" s="1"/>
  <c r="N6" i="13"/>
  <c r="N8" i="13" s="1"/>
  <c r="N10" i="13" s="1"/>
  <c r="V6" i="13"/>
  <c r="V8" i="13" s="1"/>
  <c r="V10" i="13" s="1"/>
  <c r="G46" i="13"/>
  <c r="G48" i="13" s="1"/>
  <c r="G50" i="13" s="1"/>
  <c r="J46" i="13"/>
  <c r="J48" i="13" s="1"/>
  <c r="J50" i="13" s="1"/>
  <c r="M46" i="13"/>
  <c r="M48" i="13" s="1"/>
  <c r="M50" i="13" s="1"/>
  <c r="O46" i="13"/>
  <c r="O48" i="13" s="1"/>
  <c r="O50" i="13" s="1"/>
  <c r="U46" i="13"/>
  <c r="U48" i="13" s="1"/>
  <c r="U50" i="13" s="1"/>
  <c r="F46" i="13"/>
  <c r="F48" i="13" s="1"/>
  <c r="F50" i="13" s="1"/>
  <c r="J81" i="13"/>
  <c r="I46" i="13"/>
  <c r="I48" i="13" s="1"/>
  <c r="I50" i="13" s="1"/>
  <c r="N46" i="13"/>
  <c r="N48" i="13" s="1"/>
  <c r="N50" i="13" s="1"/>
  <c r="V46" i="13"/>
  <c r="V48" i="13" s="1"/>
  <c r="V50" i="13" s="1"/>
  <c r="G6" i="13"/>
  <c r="G8" i="13" s="1"/>
  <c r="G10" i="13" s="1"/>
  <c r="M6" i="13"/>
  <c r="M8" i="13" s="1"/>
  <c r="M10" i="13" s="1"/>
  <c r="U6" i="13"/>
  <c r="U8" i="13" s="1"/>
  <c r="U10" i="13" s="1"/>
  <c r="F6" i="13"/>
  <c r="T6" i="13"/>
  <c r="T8" i="13" s="1"/>
  <c r="T10" i="13" s="1"/>
  <c r="W81" i="13"/>
  <c r="W46" i="13"/>
  <c r="W48" i="13" s="1"/>
  <c r="W50" i="13" s="1"/>
  <c r="O86" i="13"/>
  <c r="O88" i="13" s="1"/>
  <c r="O90" i="13" s="1"/>
  <c r="W86" i="13"/>
  <c r="W88" i="13" s="1"/>
  <c r="W90" i="13" s="1"/>
  <c r="J6" i="13"/>
  <c r="J8" i="13" s="1"/>
  <c r="J10" i="13" s="1"/>
  <c r="O6" i="13"/>
  <c r="O8" i="13" s="1"/>
  <c r="O10" i="13" s="1"/>
  <c r="W10" i="13"/>
  <c r="E81" i="13"/>
  <c r="E46" i="13"/>
  <c r="K46" i="13"/>
  <c r="K48" i="13" s="1"/>
  <c r="K50" i="13" s="1"/>
  <c r="T46" i="13"/>
  <c r="T48" i="13" s="1"/>
  <c r="T50" i="13" s="1"/>
  <c r="E86" i="13"/>
  <c r="K86" i="13"/>
  <c r="K88" i="13" s="1"/>
  <c r="K90" i="13" s="1"/>
  <c r="T86" i="13"/>
  <c r="T88" i="13" s="1"/>
  <c r="T90" i="13" s="1"/>
  <c r="F86" i="13"/>
  <c r="F88" i="13" s="1"/>
  <c r="F90" i="13" s="1"/>
  <c r="F121" i="13"/>
  <c r="U81" i="13"/>
  <c r="O121" i="13"/>
  <c r="U121" i="13"/>
  <c r="M121" i="13"/>
  <c r="N41" i="13"/>
  <c r="N81" i="13"/>
  <c r="G121" i="13"/>
  <c r="J41" i="13"/>
  <c r="K121" i="13"/>
  <c r="T121" i="13"/>
  <c r="I121" i="13"/>
  <c r="J121" i="13"/>
  <c r="O41" i="13"/>
  <c r="T41" i="13"/>
  <c r="U41" i="13"/>
  <c r="K81" i="13"/>
  <c r="T81" i="13"/>
  <c r="K41" i="13"/>
  <c r="I41" i="13"/>
  <c r="V41" i="13"/>
  <c r="O81" i="13"/>
  <c r="G41" i="13"/>
  <c r="G81" i="13"/>
  <c r="I81" i="13"/>
  <c r="V81" i="13"/>
  <c r="N121" i="13"/>
  <c r="F41" i="13"/>
  <c r="F81" i="13"/>
  <c r="D121" i="13" l="1"/>
  <c r="D81" i="13"/>
  <c r="D41" i="13"/>
  <c r="D6" i="13"/>
  <c r="F8" i="13"/>
  <c r="D86" i="13"/>
  <c r="D46" i="13"/>
  <c r="D14" i="12"/>
  <c r="D20" i="12" s="1"/>
  <c r="D31" i="12" s="1"/>
  <c r="E14" i="12"/>
  <c r="E20" i="12" s="1"/>
  <c r="E31" i="12" s="1"/>
  <c r="C14" i="12"/>
  <c r="C20" i="12" s="1"/>
  <c r="C31" i="12" s="1"/>
  <c r="E48" i="13"/>
  <c r="E88" i="13"/>
  <c r="F10" i="13" l="1"/>
  <c r="D10" i="13" s="1"/>
  <c r="D8" i="13"/>
  <c r="E90" i="13"/>
  <c r="D90" i="13" s="1"/>
  <c r="D88" i="13"/>
  <c r="E50" i="13"/>
  <c r="D50" i="13" s="1"/>
  <c r="D48" i="13"/>
  <c r="K7" i="12" l="1"/>
  <c r="K8" i="12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<sst xmlns="http://schemas.openxmlformats.org/spreadsheetml/2006/main" count="7596" uniqueCount="3503">
  <si>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</si>
  <si>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</si>
  <si>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</si>
  <si>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</si>
  <si>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</si>
  <si>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</si>
  <si>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</si>
  <si>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</si>
  <si>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</si>
  <si>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</si>
  <si>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</si>
  <si>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</si>
  <si>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</si>
  <si>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</si>
  <si>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</si>
  <si>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</si>
  <si>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</si>
  <si>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</si>
  <si>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</si>
  <si>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</si>
  <si>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</si>
  <si>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</si>
  <si>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</si>
  <si>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</si>
  <si>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</si>
  <si>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</si>
  <si>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</si>
  <si>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</si>
  <si>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</si>
  <si>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</si>
  <si>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</si>
  <si>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</si>
  <si>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</si>
  <si>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</si>
  <si>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</si>
  <si>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</si>
  <si>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</si>
  <si>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</si>
  <si>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</si>
  <si>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</si>
  <si>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</si>
  <si>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</si>
  <si>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</si>
  <si>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</si>
  <si>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</si>
  <si>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</si>
  <si>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</si>
  <si>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</si>
  <si>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</si>
  <si>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</si>
  <si>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</si>
  <si>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</si>
  <si>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</si>
  <si>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</si>
  <si>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</si>
  <si>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</si>
  <si>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</si>
  <si>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</si>
  <si>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</si>
  <si>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</si>
  <si>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</si>
  <si>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</si>
  <si>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</si>
  <si>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</si>
  <si>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</si>
  <si>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</si>
  <si>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</si>
  <si>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</si>
  <si>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</si>
  <si>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</si>
  <si>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</si>
  <si>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</si>
  <si>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</si>
  <si>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</si>
  <si>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</si>
  <si>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</si>
  <si>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</si>
  <si>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</si>
  <si>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</si>
  <si>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</si>
  <si>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</si>
  <si>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</si>
  <si>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</si>
  <si>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</si>
  <si>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</si>
  <si>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</si>
  <si>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</si>
  <si>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</si>
  <si>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</si>
  <si>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</si>
  <si>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</si>
  <si>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</si>
  <si>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</si>
  <si>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</si>
  <si>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</si>
  <si>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</si>
  <si>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</si>
  <si>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</si>
  <si>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</si>
  <si>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</si>
  <si>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</si>
  <si>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</si>
  <si>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</si>
  <si>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</si>
  <si>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</si>
  <si>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</si>
  <si>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</si>
  <si>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</si>
  <si>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</si>
  <si>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</si>
  <si>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</si>
  <si>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</si>
  <si>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</si>
  <si>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</si>
  <si>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</si>
  <si>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</si>
  <si>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</si>
  <si>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</si>
  <si>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</si>
  <si>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</si>
  <si>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</si>
  <si>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</si>
  <si>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</si>
  <si>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</si>
  <si>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</si>
  <si>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</si>
  <si>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</si>
  <si>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</si>
  <si>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</si>
  <si>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</si>
  <si>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</si>
  <si>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</si>
  <si>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</si>
  <si>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</si>
  <si>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</si>
  <si>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</si>
  <si>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</si>
  <si>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</si>
  <si>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</si>
  <si>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</si>
  <si>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</si>
  <si>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</si>
  <si>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</si>
  <si>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</si>
  <si>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</si>
  <si>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</si>
  <si>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</si>
  <si>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</si>
  <si>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</si>
  <si>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</si>
  <si>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</si>
  <si>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</si>
  <si>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</si>
  <si>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</si>
  <si>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</si>
  <si>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</si>
  <si>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</si>
  <si>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</si>
  <si>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</si>
  <si>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</si>
  <si>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</si>
  <si>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</si>
  <si>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</si>
  <si>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</si>
  <si>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</si>
  <si>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</si>
  <si>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</si>
  <si>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</si>
  <si>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</si>
  <si>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</si>
  <si>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</si>
  <si>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</si>
  <si>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</si>
  <si>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</si>
  <si>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</si>
  <si>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</si>
  <si>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</si>
  <si>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</si>
  <si>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</si>
  <si>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</si>
  <si>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</si>
  <si>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</si>
  <si>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</si>
  <si>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</si>
  <si>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</si>
  <si>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</si>
  <si>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</si>
  <si>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</si>
  <si>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</si>
  <si>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</si>
  <si>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</si>
  <si>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</si>
  <si>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</si>
  <si>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</si>
  <si>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</si>
  <si>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</si>
  <si>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</si>
  <si>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</si>
  <si>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</si>
  <si>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</si>
  <si>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</si>
  <si>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</si>
  <si>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</si>
  <si>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</si>
  <si>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</si>
  <si>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</si>
  <si>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</si>
  <si>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</si>
  <si>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</si>
  <si>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</si>
  <si>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</si>
  <si>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</si>
  <si>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</si>
  <si>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</si>
  <si>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</si>
  <si>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</si>
  <si>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</si>
  <si>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</si>
  <si>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</si>
  <si>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</si>
  <si>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Razdjel/Glava       ______________________________</t>
  </si>
  <si>
    <t>Glava</t>
  </si>
  <si>
    <t>Izvor financiranja</t>
  </si>
  <si>
    <t>Aktivnost/ Projekt</t>
  </si>
  <si>
    <t>Konto izdatka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</si>
  <si>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</si>
  <si>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</si>
  <si>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</si>
  <si>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</si>
  <si>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</si>
  <si>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</si>
  <si>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</si>
  <si>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</si>
  <si>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</si>
  <si>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</si>
  <si>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</si>
  <si>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</si>
  <si>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</si>
  <si>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</si>
  <si>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</si>
  <si>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</si>
  <si>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</si>
  <si>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</si>
  <si>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</si>
  <si>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</si>
  <si>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</si>
  <si>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</si>
  <si>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</si>
  <si>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</si>
  <si>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</si>
  <si>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</si>
  <si>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</si>
  <si>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</si>
  <si>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</si>
  <si>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</si>
  <si>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</si>
  <si>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</si>
  <si>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</si>
  <si>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</si>
  <si>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</si>
  <si>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</si>
  <si>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</si>
  <si>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</si>
  <si>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</si>
  <si>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</si>
  <si>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</si>
  <si>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</si>
  <si>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</si>
  <si>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</si>
  <si>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</si>
  <si>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</si>
  <si>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</si>
  <si>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</si>
  <si>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</si>
  <si>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</si>
  <si>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</si>
  <si>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</si>
  <si>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</si>
  <si>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</si>
  <si>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</si>
  <si>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</si>
  <si>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</si>
  <si>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</si>
  <si>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</si>
  <si>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</si>
  <si>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</si>
  <si>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</si>
  <si>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</si>
  <si>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</si>
  <si>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</si>
  <si>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</si>
  <si>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</si>
  <si>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</si>
  <si>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</si>
  <si>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</si>
  <si>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</si>
  <si>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</si>
  <si>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</si>
  <si>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</si>
  <si>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</si>
  <si>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</si>
  <si>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</si>
  <si>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</si>
  <si>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</si>
  <si>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</si>
  <si>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</si>
  <si>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</si>
  <si>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</si>
  <si>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</si>
  <si>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</si>
  <si>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</si>
  <si>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</si>
  <si>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</si>
  <si>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</si>
  <si>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</si>
  <si>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</si>
  <si>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</si>
  <si>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</si>
  <si>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</si>
  <si>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</si>
  <si>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</si>
  <si>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</si>
  <si>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</si>
  <si>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</si>
  <si>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</si>
  <si>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</si>
  <si>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</si>
  <si>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</si>
  <si>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</si>
  <si>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</si>
  <si>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</si>
  <si>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</si>
  <si>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</si>
  <si>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</si>
  <si>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</si>
  <si>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</si>
  <si>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</si>
  <si>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</si>
  <si>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</si>
  <si>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</si>
  <si>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</si>
  <si>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</si>
  <si>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</si>
  <si>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</si>
  <si>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</si>
  <si>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</si>
  <si>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</si>
  <si>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</si>
  <si>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</si>
  <si>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</si>
  <si>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</si>
  <si>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</si>
  <si>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</si>
  <si>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</si>
  <si>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</si>
  <si>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</si>
  <si>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</si>
  <si>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</si>
  <si>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</si>
  <si>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</si>
  <si>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</si>
  <si>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</si>
  <si>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</si>
  <si>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</si>
  <si>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</si>
  <si>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</si>
  <si>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</si>
  <si>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</si>
  <si>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</si>
  <si>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</si>
  <si>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</si>
  <si>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</si>
  <si>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</si>
  <si>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</si>
  <si>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</si>
  <si>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</si>
  <si>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</si>
  <si>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</si>
  <si>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</si>
  <si>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</si>
  <si>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</si>
  <si>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</si>
  <si>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</si>
  <si>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</si>
  <si>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</si>
  <si>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</si>
  <si>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</si>
  <si>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</si>
  <si>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</si>
  <si>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</si>
  <si>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</si>
  <si>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</si>
  <si>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</si>
  <si>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</si>
  <si>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</si>
  <si>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</si>
  <si>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</si>
  <si>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</si>
  <si>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</si>
  <si>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</si>
  <si>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</si>
  <si>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</si>
  <si>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</si>
  <si>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</si>
  <si>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</si>
  <si>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</si>
  <si>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</si>
  <si>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</si>
  <si>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</si>
  <si>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</si>
  <si>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</si>
  <si>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</si>
  <si>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</si>
  <si>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</si>
  <si>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</si>
  <si>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</si>
  <si>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</si>
  <si>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</si>
  <si>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</si>
  <si>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</si>
  <si>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</si>
  <si>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</si>
  <si>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</si>
  <si>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</si>
  <si>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</si>
  <si>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</si>
  <si>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</si>
  <si>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</si>
  <si>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</si>
  <si>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</si>
  <si>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</si>
  <si>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</si>
  <si>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</si>
  <si>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</si>
  <si>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</si>
  <si>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</si>
  <si>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</si>
  <si>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</si>
  <si>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</si>
  <si>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</si>
  <si>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</si>
  <si>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</si>
  <si>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</si>
  <si>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</si>
  <si>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</si>
  <si>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</si>
  <si>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</si>
  <si>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</si>
  <si>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</si>
  <si>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</si>
  <si>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</si>
  <si>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</si>
  <si>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</si>
  <si>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</si>
  <si>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</si>
  <si>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</si>
  <si>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</si>
  <si>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</si>
  <si>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</si>
  <si>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</si>
  <si>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</si>
  <si>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</si>
  <si>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</si>
  <si>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</si>
  <si>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</si>
  <si>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</si>
  <si>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</si>
  <si>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</si>
  <si>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</si>
  <si>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</si>
  <si>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</si>
  <si>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</si>
  <si>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</si>
  <si>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</si>
  <si>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</si>
  <si>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</si>
  <si>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</si>
  <si>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</si>
  <si>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</si>
  <si>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</si>
  <si>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</si>
  <si>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</si>
  <si>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</si>
  <si>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</si>
  <si>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</si>
  <si>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</si>
  <si>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</si>
  <si>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</si>
  <si>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</si>
  <si>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</si>
  <si>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</si>
  <si>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</si>
  <si>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</si>
  <si>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</si>
  <si>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</si>
  <si>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</si>
  <si>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</si>
  <si>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</si>
  <si>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</si>
  <si>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</si>
  <si>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</si>
  <si>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</si>
  <si>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</si>
  <si>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</si>
  <si>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</si>
  <si>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</si>
  <si>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</si>
  <si>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</si>
  <si>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</si>
  <si>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</si>
  <si>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</si>
  <si>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</si>
  <si>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</si>
  <si>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</si>
  <si>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</si>
  <si>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</si>
  <si>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</si>
  <si>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</si>
  <si>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</si>
  <si>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</si>
  <si>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</si>
  <si>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</si>
  <si>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</si>
  <si>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</si>
  <si>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</si>
  <si>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</si>
  <si>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</si>
  <si>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</si>
  <si>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</si>
  <si>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</si>
  <si>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</si>
  <si>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</si>
  <si>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</si>
  <si>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</si>
  <si>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</si>
  <si>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</si>
  <si>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</si>
  <si>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</si>
  <si>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</si>
  <si>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</si>
  <si>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</si>
  <si>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</si>
  <si>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</si>
  <si>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</si>
  <si>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</si>
  <si>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</si>
  <si>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</si>
  <si>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</si>
  <si>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</si>
  <si>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</si>
  <si>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</si>
  <si>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</si>
  <si>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</si>
  <si>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</si>
  <si>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</si>
  <si>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</si>
  <si>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</si>
  <si>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</si>
  <si>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</si>
  <si>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</si>
  <si>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</si>
  <si>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</si>
  <si>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</si>
  <si>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</si>
  <si>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</si>
  <si>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</si>
  <si>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</si>
  <si>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</si>
  <si>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</si>
  <si>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</si>
  <si>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</si>
  <si>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</si>
  <si>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</si>
  <si>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</si>
  <si>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</si>
  <si>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</si>
  <si>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</si>
  <si>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</si>
  <si>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</si>
  <si>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</si>
  <si>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</si>
  <si>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</si>
  <si>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</si>
  <si>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</si>
  <si>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</si>
  <si>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</si>
  <si>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</si>
  <si>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</si>
  <si>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</si>
  <si>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</si>
  <si>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</si>
  <si>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</si>
  <si>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</si>
  <si>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</si>
  <si>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</si>
  <si>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</si>
  <si>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</si>
  <si>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</si>
  <si>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</si>
  <si>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</si>
  <si>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</si>
  <si>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</si>
  <si>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</si>
  <si>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</si>
  <si>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</si>
  <si>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</si>
  <si>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</si>
  <si>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</si>
  <si>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</si>
  <si>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</si>
  <si>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</si>
  <si>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</si>
  <si>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</si>
  <si>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</si>
  <si>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</si>
  <si>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</si>
  <si>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</si>
  <si>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</si>
  <si>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</si>
  <si>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</si>
  <si>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</si>
  <si>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</si>
  <si>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</si>
  <si>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</si>
  <si>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</si>
  <si>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</si>
  <si>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</si>
  <si>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</si>
  <si>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</si>
  <si>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</si>
  <si>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</si>
  <si>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</si>
  <si>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</si>
  <si>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</si>
  <si>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</si>
  <si>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</si>
  <si>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</si>
  <si>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</si>
  <si>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</si>
  <si>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</si>
  <si>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</si>
  <si>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</si>
  <si>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</si>
  <si>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</si>
  <si>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</si>
  <si>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</si>
  <si>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</si>
  <si>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</si>
  <si>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</si>
  <si>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</si>
  <si>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</si>
  <si>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</si>
  <si>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</si>
  <si>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</si>
  <si>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</si>
  <si>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</si>
  <si>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</si>
  <si>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</si>
  <si>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</si>
  <si>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</si>
  <si>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</si>
  <si>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</si>
  <si>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</si>
  <si>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</si>
  <si>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</si>
  <si>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</si>
  <si>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</si>
  <si>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</si>
  <si>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</si>
  <si>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</si>
  <si>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</si>
  <si>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</si>
  <si>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</si>
  <si>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</si>
  <si>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</si>
  <si>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</si>
  <si>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</si>
  <si>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</si>
  <si>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</si>
  <si>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</si>
  <si>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</si>
  <si>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</si>
  <si>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</si>
  <si>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</si>
  <si>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</si>
  <si>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</si>
  <si>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</si>
  <si>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</si>
  <si>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</si>
  <si>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</si>
  <si>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</si>
  <si>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</si>
  <si>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</si>
  <si>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</si>
  <si>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</si>
  <si>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</si>
  <si>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</si>
  <si>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</si>
  <si>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</si>
  <si>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</si>
  <si>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</si>
  <si>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</si>
  <si>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</si>
  <si>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</si>
  <si>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</si>
  <si>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</si>
  <si>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</si>
  <si>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</si>
  <si>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</si>
  <si>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</si>
  <si>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</si>
  <si>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</si>
  <si>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</si>
  <si>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</si>
  <si>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</si>
  <si>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</si>
  <si>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</si>
  <si>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</si>
  <si>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</si>
  <si>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</si>
  <si>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</si>
  <si>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</si>
  <si>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</si>
  <si>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</si>
  <si>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</si>
  <si>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</si>
  <si>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</si>
  <si>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</si>
  <si>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</si>
  <si>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</si>
  <si>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</si>
  <si>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</si>
  <si>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</si>
  <si>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</si>
  <si>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</si>
  <si>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</si>
  <si>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</si>
  <si>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</si>
  <si>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</si>
  <si>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</si>
  <si>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</si>
  <si>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</si>
  <si>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</si>
  <si>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</si>
  <si>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</si>
  <si>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</si>
  <si>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</si>
  <si>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</si>
  <si>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</si>
  <si>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</si>
  <si>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</si>
  <si>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</si>
  <si>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</si>
  <si>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</si>
  <si>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</si>
  <si>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</si>
  <si>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</si>
  <si>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</si>
  <si>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</si>
  <si>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</si>
  <si>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</si>
  <si>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</si>
  <si>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</si>
  <si>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</si>
  <si>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</si>
  <si>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</si>
  <si>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</si>
  <si>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</si>
  <si>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</si>
  <si>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</si>
  <si>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</si>
  <si>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</si>
  <si>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</si>
  <si>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</si>
  <si>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</si>
  <si>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</si>
  <si>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</si>
  <si>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</si>
  <si>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</si>
  <si>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</si>
  <si>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</si>
  <si>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</si>
  <si>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</si>
  <si>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</si>
  <si>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</si>
  <si>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</si>
  <si>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</si>
  <si>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</si>
  <si>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</si>
  <si>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</si>
  <si>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</si>
  <si>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</si>
  <si>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</si>
  <si>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</si>
  <si>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</si>
  <si>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</si>
  <si>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</si>
  <si>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</si>
  <si>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</si>
  <si>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</si>
  <si>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</si>
  <si>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</si>
  <si>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</si>
  <si>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</si>
  <si>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</si>
  <si>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</si>
  <si>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</si>
  <si>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</si>
  <si>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</si>
  <si>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</si>
  <si>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</si>
  <si>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</si>
  <si>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</si>
  <si>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</si>
  <si>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</si>
  <si>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</si>
  <si>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</si>
  <si>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</si>
  <si>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</si>
  <si>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</si>
  <si>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</si>
  <si>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</si>
  <si>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</si>
  <si>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</si>
  <si>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</si>
  <si>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</si>
  <si>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</si>
  <si>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</si>
  <si>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</si>
  <si>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</si>
  <si>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</si>
  <si>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</si>
  <si>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</si>
  <si>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</si>
  <si>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</si>
  <si>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</si>
  <si>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</si>
  <si>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</si>
  <si>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</si>
  <si>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</si>
  <si>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</si>
  <si>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</si>
  <si>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</si>
  <si>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</si>
  <si>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</si>
  <si>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</si>
  <si>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</si>
  <si>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</si>
  <si>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</si>
  <si>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</si>
  <si>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</si>
  <si>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</si>
  <si>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</si>
  <si>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</si>
  <si>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</si>
  <si>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</si>
  <si>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</si>
  <si>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</si>
  <si>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</si>
  <si>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</si>
  <si>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</si>
  <si>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</si>
  <si>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</si>
  <si>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</si>
  <si>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</si>
  <si>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</si>
  <si>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</si>
  <si>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</si>
  <si>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</si>
  <si>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</si>
  <si>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</si>
  <si>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</si>
  <si>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</si>
  <si>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</si>
  <si>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</si>
  <si>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</si>
  <si>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</si>
  <si>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</si>
  <si>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</si>
  <si>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</si>
  <si>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</si>
  <si>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</si>
  <si>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</si>
  <si>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</si>
  <si>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</si>
  <si>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</si>
  <si>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</si>
  <si>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</si>
  <si>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</si>
  <si>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</si>
  <si>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</si>
  <si>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</si>
  <si>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</si>
  <si>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</si>
  <si>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</si>
  <si>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</si>
  <si>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</si>
  <si>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</si>
  <si>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</si>
  <si>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</si>
  <si>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</si>
  <si>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</si>
  <si>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</si>
  <si>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</si>
  <si>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</si>
  <si>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</si>
  <si>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</si>
  <si>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</si>
  <si>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</si>
  <si>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</si>
  <si>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</si>
  <si>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</si>
  <si>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</si>
  <si>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</si>
  <si>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</si>
  <si>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</si>
  <si>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</si>
  <si>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</si>
  <si>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</si>
  <si>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</si>
  <si>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</si>
  <si>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</si>
  <si>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</si>
  <si>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</si>
  <si>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</si>
  <si>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</si>
  <si>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</si>
  <si>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</si>
  <si>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</si>
  <si>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</si>
  <si>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</si>
  <si>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</si>
  <si>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</si>
  <si>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</si>
  <si>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</si>
  <si>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</si>
  <si>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</si>
  <si>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</si>
  <si>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</si>
  <si>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</si>
  <si>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</si>
  <si>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</si>
  <si>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</si>
  <si>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</si>
  <si>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</si>
  <si>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</si>
  <si>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</si>
  <si>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</si>
  <si>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A679078.027</t>
  </si>
  <si>
    <t>OBZOR2020 MEET Kapitaliziranje iskorištavanja naprednih geotermalnih sustava i potencijala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</si>
  <si>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</si>
  <si>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</si>
  <si>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</si>
  <si>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</si>
  <si>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</si>
  <si>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</si>
  <si>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</si>
  <si>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</si>
  <si>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</si>
  <si>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</si>
  <si>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</si>
  <si>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</si>
  <si>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</si>
  <si>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</si>
  <si>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</si>
  <si>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</si>
  <si>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</si>
  <si>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</si>
  <si>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</si>
  <si>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</si>
  <si>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</si>
  <si>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</si>
  <si>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</si>
  <si>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</si>
  <si>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</si>
  <si>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</si>
  <si>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</si>
  <si>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</si>
  <si>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</si>
  <si>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</si>
  <si>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</si>
  <si>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</si>
  <si>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</si>
  <si>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</si>
  <si>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</si>
  <si>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</si>
  <si>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</si>
  <si>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</si>
  <si>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</si>
  <si>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</si>
  <si>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</si>
  <si>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</si>
  <si>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</si>
  <si>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</si>
  <si>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</si>
  <si>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</si>
  <si>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</si>
  <si>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</si>
  <si>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</si>
  <si>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</si>
  <si>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</si>
  <si>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</si>
  <si>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</si>
  <si>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</si>
  <si>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</si>
  <si>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</si>
  <si>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</si>
  <si>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</si>
  <si>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</si>
  <si>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</si>
  <si>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</si>
  <si>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</si>
  <si>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</si>
  <si>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</si>
  <si>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</si>
  <si>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</si>
  <si>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</si>
  <si>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</si>
  <si>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</si>
  <si>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</si>
  <si>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</si>
  <si>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</si>
  <si>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</si>
  <si>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</si>
  <si>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</si>
  <si>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</si>
  <si>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</si>
  <si>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</si>
  <si>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</si>
  <si>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</si>
  <si>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</si>
  <si>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</si>
  <si>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</si>
  <si>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</si>
  <si>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</si>
  <si>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</si>
  <si>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</si>
  <si>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</si>
  <si>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</si>
  <si>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</si>
  <si>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</si>
  <si>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</si>
  <si>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</si>
  <si>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</si>
  <si>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</si>
  <si>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</si>
  <si>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</si>
  <si>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</si>
  <si>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</si>
  <si>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</si>
  <si>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</si>
  <si>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</si>
  <si>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</si>
  <si>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</si>
  <si>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</si>
  <si>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</si>
  <si>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</si>
  <si>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</si>
  <si>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</si>
  <si>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</si>
  <si>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</si>
  <si>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</si>
  <si>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</si>
  <si>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</si>
  <si>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</si>
  <si>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</si>
  <si>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</si>
  <si>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</si>
  <si>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</si>
  <si>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</si>
  <si>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</si>
  <si>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</si>
  <si>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</si>
  <si>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</si>
  <si>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</si>
  <si>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</si>
  <si>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</si>
  <si>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</si>
  <si>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</si>
  <si>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</si>
  <si>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</si>
  <si>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</si>
  <si>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</si>
  <si>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</si>
  <si>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</si>
  <si>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</si>
  <si>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</si>
  <si>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</si>
  <si>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</si>
  <si>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</si>
  <si>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</si>
  <si>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</si>
  <si>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</si>
  <si>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</si>
  <si>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</si>
  <si>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</si>
  <si>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</si>
  <si>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</si>
  <si>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</si>
  <si>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</si>
  <si>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</si>
  <si>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</si>
  <si>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</si>
  <si>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</si>
  <si>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</si>
  <si>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</si>
  <si>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</si>
  <si>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</si>
  <si>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</si>
  <si>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</si>
  <si>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</si>
  <si>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</si>
  <si>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</si>
  <si>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</si>
  <si>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</si>
  <si>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</si>
  <si>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</si>
  <si>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</si>
  <si>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</si>
  <si>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</si>
  <si>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</si>
  <si>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</si>
  <si>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</si>
  <si>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</si>
  <si>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</si>
  <si>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</si>
  <si>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</si>
  <si>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</si>
  <si>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</si>
  <si>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</si>
  <si>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</si>
  <si>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</si>
  <si>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</si>
  <si>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</si>
  <si>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</si>
  <si>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</si>
  <si>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</si>
  <si>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</si>
  <si>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</si>
  <si>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</si>
  <si>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</si>
  <si>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</si>
  <si>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</si>
  <si>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</si>
  <si>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</si>
  <si>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</si>
  <si>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</si>
  <si>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</si>
  <si>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</si>
  <si>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</si>
  <si>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</si>
  <si>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</si>
  <si>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</si>
  <si>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</si>
  <si>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</si>
  <si>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</si>
  <si>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</si>
  <si>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</si>
  <si>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</si>
  <si>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</si>
  <si>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</si>
  <si>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</si>
  <si>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</si>
  <si>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</si>
  <si>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</si>
  <si>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</si>
  <si>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</si>
  <si>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</si>
  <si>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</si>
  <si>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</si>
  <si>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</si>
  <si>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</si>
  <si>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</si>
  <si>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</si>
  <si>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</si>
  <si>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</si>
  <si>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</si>
  <si>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</si>
  <si>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</si>
  <si>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</si>
  <si>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</si>
  <si>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</si>
  <si>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</si>
  <si>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</si>
  <si>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</si>
  <si>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</si>
  <si>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</si>
  <si>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</si>
  <si>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</si>
  <si>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</si>
  <si>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</si>
  <si>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</si>
  <si>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</si>
  <si>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</si>
  <si>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</si>
  <si>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</si>
  <si>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</si>
  <si>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</si>
  <si>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</si>
  <si>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</si>
  <si>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</si>
  <si>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</si>
  <si>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</si>
  <si>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</si>
  <si>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</si>
  <si>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</si>
  <si>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</si>
  <si>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</si>
  <si>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</si>
  <si>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</si>
  <si>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</si>
  <si>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</si>
  <si>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</si>
  <si>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</si>
  <si>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</si>
  <si>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</si>
  <si>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</si>
  <si>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</si>
  <si>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</si>
  <si>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</si>
  <si>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</si>
  <si>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</si>
  <si>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</si>
  <si>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</si>
  <si>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</si>
  <si>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</si>
  <si>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</si>
  <si>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</si>
  <si>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</si>
  <si>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</si>
  <si>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</si>
  <si>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</si>
  <si>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</si>
  <si>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</si>
  <si>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</si>
  <si>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</si>
  <si>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</si>
  <si>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</si>
  <si>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</si>
  <si>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</si>
  <si>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</si>
  <si>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</si>
  <si>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</si>
  <si>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</si>
  <si>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</si>
  <si>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</si>
  <si>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</si>
  <si>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</si>
  <si>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</si>
  <si>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</si>
  <si>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</si>
  <si>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</si>
  <si>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</si>
  <si>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</si>
  <si>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</si>
  <si>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</si>
  <si>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</si>
  <si>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</si>
  <si>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</si>
  <si>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</si>
  <si>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</si>
  <si>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</si>
  <si>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</si>
  <si>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</si>
  <si>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</si>
  <si>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</si>
  <si>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</si>
  <si>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</si>
  <si>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</si>
  <si>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</si>
  <si>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</si>
  <si>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</si>
  <si>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</si>
  <si>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</si>
  <si>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</si>
  <si>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</si>
  <si>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</si>
  <si>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</si>
  <si>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</si>
  <si>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</si>
  <si>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</si>
  <si>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</si>
  <si>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</si>
  <si>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</si>
  <si>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</si>
  <si>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</si>
  <si>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</si>
  <si>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</si>
  <si>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</si>
  <si>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</si>
  <si>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</si>
  <si>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</si>
  <si>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</si>
  <si>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</si>
  <si>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</si>
  <si>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</si>
  <si>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</si>
  <si>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</si>
  <si>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</si>
  <si>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</si>
  <si>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</si>
  <si>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</si>
  <si>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</si>
  <si>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</si>
  <si>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</si>
  <si>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</si>
  <si>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</si>
  <si>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</si>
  <si>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</si>
  <si>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</si>
  <si>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</si>
  <si>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</si>
  <si>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</si>
  <si>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</si>
  <si>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</si>
  <si>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</si>
  <si>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</si>
  <si>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</si>
  <si>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</si>
  <si>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</si>
  <si>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</si>
  <si>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</si>
  <si>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</si>
  <si>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</si>
  <si>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</si>
  <si>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</si>
  <si>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</si>
  <si>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</si>
  <si>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</si>
  <si>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</si>
  <si>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</si>
  <si>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</si>
  <si>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</si>
  <si>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</si>
  <si>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</si>
  <si>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</si>
  <si>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</si>
  <si>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</si>
  <si>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</si>
  <si>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</si>
  <si>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</si>
  <si>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</si>
  <si>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</si>
  <si>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</si>
  <si>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</si>
  <si>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</si>
  <si>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</si>
  <si>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</si>
  <si>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</si>
  <si>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</si>
  <si>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</si>
  <si>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</si>
  <si>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</si>
  <si>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</si>
  <si>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</si>
  <si>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</si>
  <si>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</si>
  <si>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</si>
  <si>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</si>
  <si>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</si>
  <si>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</si>
  <si>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</si>
  <si>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</si>
  <si>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</si>
  <si>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</si>
  <si>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</si>
  <si>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</si>
  <si>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</si>
  <si>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</si>
  <si>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</si>
  <si>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</si>
  <si>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</si>
  <si>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</si>
  <si>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</si>
  <si>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</si>
  <si>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</si>
  <si>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</si>
  <si>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</si>
  <si>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</si>
  <si>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</si>
  <si>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</si>
  <si>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</si>
  <si>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</si>
  <si>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</si>
  <si>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</si>
  <si>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</si>
  <si>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</si>
  <si>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</si>
  <si>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</si>
  <si>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</si>
  <si>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</si>
  <si>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</si>
  <si>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</si>
  <si>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</si>
  <si>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</si>
  <si>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</si>
  <si>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</si>
  <si>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</si>
  <si>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</si>
  <si>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</si>
  <si>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</si>
  <si>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</si>
  <si>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</si>
  <si>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</si>
  <si>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</si>
  <si>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</si>
  <si>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</si>
  <si>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</si>
  <si>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</si>
  <si>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</si>
  <si>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</si>
  <si>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</si>
  <si>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</si>
  <si>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</si>
  <si>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</si>
  <si>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</si>
  <si>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</si>
  <si>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</si>
  <si>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</si>
  <si>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</si>
  <si>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</si>
  <si>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</si>
  <si>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</si>
  <si>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</si>
  <si>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</si>
  <si>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</si>
  <si>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</si>
  <si>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</si>
  <si>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</si>
  <si>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</si>
  <si>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</si>
  <si>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</si>
  <si>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</si>
  <si>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</si>
  <si>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</si>
  <si>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</si>
  <si>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</si>
  <si>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</si>
  <si>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</si>
  <si>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</si>
  <si>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</si>
  <si>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</si>
  <si>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</si>
  <si>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</si>
  <si>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</si>
  <si>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</si>
  <si>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</si>
  <si>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</si>
  <si>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</si>
  <si>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</si>
  <si>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</si>
  <si>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</si>
  <si>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</si>
  <si>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</si>
  <si>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</si>
  <si>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</si>
  <si>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</si>
  <si>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</si>
  <si>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</si>
  <si>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</si>
  <si>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</si>
  <si>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</si>
  <si>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</si>
  <si>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</si>
  <si>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</si>
  <si>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</si>
  <si>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</si>
  <si>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</si>
  <si>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</si>
  <si>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</si>
  <si>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</si>
  <si>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</si>
  <si>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</si>
  <si>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</si>
  <si>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</si>
  <si>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</si>
  <si>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</si>
  <si>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</si>
  <si>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</si>
  <si>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</si>
  <si>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</si>
  <si>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</si>
  <si>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</si>
  <si>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</si>
  <si>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</si>
  <si>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</si>
  <si>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</si>
  <si>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</si>
  <si>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</si>
  <si>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</si>
  <si>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</si>
  <si>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</si>
  <si>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</si>
  <si>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</si>
  <si>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</si>
  <si>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</si>
  <si>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</si>
  <si>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</si>
  <si>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</si>
  <si>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</si>
  <si>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</si>
  <si>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</si>
  <si>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</si>
  <si>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</si>
  <si>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</si>
  <si>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</si>
  <si>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</si>
  <si>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</si>
  <si>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</si>
  <si>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</si>
  <si>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</si>
  <si>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</si>
  <si>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</si>
  <si>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</si>
  <si>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</si>
  <si>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</si>
  <si>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</si>
  <si>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</si>
  <si>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</si>
  <si>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</si>
  <si>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</si>
  <si>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</si>
  <si>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</si>
  <si>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</si>
  <si>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</si>
  <si>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</si>
  <si>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</si>
  <si>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</si>
  <si>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</si>
  <si>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</si>
  <si>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</si>
  <si>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</si>
  <si>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</si>
  <si>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</si>
  <si>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</si>
  <si>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</si>
  <si>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</si>
  <si>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</si>
  <si>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</si>
  <si>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</si>
  <si>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</si>
  <si>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</si>
  <si>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</si>
  <si>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</si>
  <si>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</si>
  <si>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</si>
  <si>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</si>
  <si>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</si>
  <si>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</si>
  <si>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</si>
  <si>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</si>
  <si>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</si>
  <si>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</si>
  <si>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</si>
  <si>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</si>
  <si>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</si>
  <si>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</si>
  <si>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</si>
  <si>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</si>
  <si>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</si>
  <si>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</si>
  <si>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</si>
  <si>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</si>
  <si>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</si>
  <si>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</si>
  <si>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</si>
  <si>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</si>
  <si>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</si>
  <si>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</si>
  <si>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</si>
  <si>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</si>
  <si>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</si>
  <si>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</si>
  <si>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</si>
  <si>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</si>
  <si>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</si>
  <si>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</si>
  <si>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</si>
  <si>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</si>
  <si>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</si>
  <si>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</si>
  <si>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</si>
  <si>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</si>
  <si>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</si>
  <si>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</si>
  <si>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</si>
  <si>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</si>
  <si>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</si>
  <si>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</si>
  <si>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</si>
  <si>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</si>
  <si>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</si>
  <si>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</si>
  <si>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</si>
  <si>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</si>
  <si>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</si>
  <si>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</si>
  <si>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</si>
  <si>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</si>
  <si>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</si>
  <si>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</si>
  <si>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</si>
  <si>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</si>
  <si>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</si>
  <si>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</si>
  <si>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</si>
  <si>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</si>
  <si>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</si>
  <si>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</si>
  <si>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</si>
  <si>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</si>
  <si>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</si>
  <si>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</si>
  <si>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</si>
  <si>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</si>
  <si>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</si>
  <si>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</si>
  <si>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</si>
  <si>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</si>
  <si>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</si>
  <si>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</si>
  <si>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</si>
  <si>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</si>
  <si>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</si>
  <si>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</si>
  <si>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</si>
  <si>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</si>
  <si>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</si>
  <si>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</si>
  <si>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</si>
  <si>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</si>
  <si>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</si>
  <si>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</si>
  <si>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</si>
  <si>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</si>
  <si>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</si>
  <si>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</si>
  <si>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</si>
  <si>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</si>
  <si>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</si>
  <si>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</si>
  <si>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</si>
  <si>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</si>
  <si>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</si>
  <si>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</si>
  <si>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</si>
  <si>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</si>
  <si>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</si>
  <si>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</si>
  <si>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</si>
  <si>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</si>
  <si>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</si>
  <si>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</si>
  <si>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</si>
  <si>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</si>
  <si>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</si>
  <si>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</si>
  <si>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</si>
  <si>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</si>
  <si>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</si>
  <si>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</si>
  <si>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</si>
  <si>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</si>
  <si>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</si>
  <si>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</si>
  <si>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</si>
  <si>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</si>
  <si>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</si>
  <si>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</si>
  <si>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</si>
  <si>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</si>
  <si>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</si>
  <si>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</si>
  <si>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</si>
  <si>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</si>
  <si>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</si>
  <si>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</si>
  <si>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</si>
  <si>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</si>
  <si>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</si>
  <si>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</si>
  <si>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</si>
  <si>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</si>
  <si>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</si>
  <si>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</si>
  <si>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</si>
  <si>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</si>
  <si>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</si>
  <si>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</si>
  <si>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</si>
  <si>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</si>
  <si>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</si>
  <si>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</si>
  <si>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</si>
  <si>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</si>
  <si>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</si>
  <si>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</si>
  <si>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</si>
  <si>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</si>
  <si>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</si>
  <si>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</si>
  <si>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</si>
  <si>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</si>
  <si>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</si>
  <si>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</si>
  <si>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</si>
  <si>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</si>
  <si>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</si>
  <si>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</si>
  <si>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</si>
  <si>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</si>
  <si>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</si>
  <si>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</si>
  <si>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</si>
  <si>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</si>
  <si>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</si>
  <si>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</si>
  <si>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</si>
  <si>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</si>
  <si>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</si>
  <si>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</si>
  <si>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</si>
  <si>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</si>
  <si>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</si>
  <si>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</si>
  <si>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</si>
  <si>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</si>
  <si>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</si>
  <si>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</si>
  <si>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</si>
  <si>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</si>
  <si>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</si>
  <si>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</si>
  <si>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</si>
  <si>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</si>
  <si>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</si>
  <si>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</si>
  <si>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</si>
  <si>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</si>
  <si>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</si>
  <si>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</si>
  <si>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</si>
  <si>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</si>
  <si>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</si>
  <si>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</si>
  <si>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</si>
  <si>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</si>
  <si>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</si>
  <si>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</si>
  <si>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</si>
  <si>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</si>
  <si>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</si>
  <si>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</si>
  <si>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</si>
  <si>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</si>
  <si>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</si>
  <si>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</si>
  <si>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</si>
  <si>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</si>
  <si>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</si>
  <si>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</si>
  <si>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</si>
  <si>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</si>
  <si>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</si>
  <si>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</si>
  <si>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</si>
  <si>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</si>
  <si>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</si>
  <si>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</si>
  <si>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</si>
  <si>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</si>
  <si>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</si>
  <si>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</si>
  <si>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</si>
  <si>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</si>
  <si>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</si>
  <si>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</si>
  <si>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</si>
  <si>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</si>
  <si>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</si>
  <si>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</si>
  <si>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</si>
  <si>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</si>
  <si>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</si>
  <si>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</si>
  <si>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</si>
  <si>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</si>
  <si>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</si>
  <si>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</si>
  <si>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</si>
  <si>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</si>
  <si>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</si>
  <si>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</si>
  <si>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</si>
  <si>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</si>
  <si>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</si>
  <si>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</si>
  <si>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</si>
  <si>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</si>
  <si>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</si>
  <si>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</si>
  <si>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</si>
  <si>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</si>
  <si>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</si>
  <si>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</si>
  <si>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</si>
  <si>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</si>
  <si>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</si>
  <si>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</si>
  <si>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</si>
  <si>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</si>
  <si>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</si>
  <si>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</si>
  <si>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</si>
  <si>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</si>
  <si>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</si>
  <si>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</si>
  <si>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</si>
  <si>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</si>
  <si>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</si>
  <si>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</si>
  <si>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</si>
  <si>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</si>
  <si>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</si>
  <si>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</si>
  <si>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</si>
  <si>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</si>
  <si>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</si>
  <si>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</si>
  <si>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</si>
  <si>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</si>
  <si>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</si>
  <si>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</si>
  <si>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</si>
  <si>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</si>
  <si>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</si>
  <si>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</si>
  <si>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</si>
  <si>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</si>
  <si>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</si>
  <si>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</si>
  <si>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</si>
  <si>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</si>
  <si>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</si>
  <si>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</si>
  <si>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</si>
  <si>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</si>
  <si>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</si>
  <si>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</si>
  <si>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</si>
  <si>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</si>
  <si>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</si>
  <si>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</si>
  <si>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</si>
  <si>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</si>
  <si>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</si>
  <si>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</si>
  <si>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</si>
  <si>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</si>
  <si>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</si>
  <si>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</si>
  <si>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</si>
  <si>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</si>
  <si>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</si>
  <si>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</si>
  <si>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</si>
  <si>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</si>
  <si>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</si>
  <si>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</si>
  <si>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</si>
  <si>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</si>
  <si>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</si>
  <si>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</si>
  <si>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</si>
  <si>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</si>
  <si>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</si>
  <si>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</si>
  <si>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</si>
  <si>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</si>
  <si>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</si>
  <si>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</si>
  <si>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</si>
  <si>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</si>
  <si>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</si>
  <si>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</si>
  <si>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</si>
  <si>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</si>
  <si>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</si>
  <si>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</si>
  <si>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</si>
  <si>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</si>
  <si>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</si>
  <si>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</si>
  <si>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</si>
  <si>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</si>
  <si>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</si>
  <si>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</si>
  <si>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</si>
  <si>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</si>
  <si>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</si>
  <si>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</si>
  <si>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</si>
  <si>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</si>
  <si>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</si>
  <si>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</si>
  <si>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</si>
  <si>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</si>
  <si>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</si>
  <si>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</si>
  <si>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</si>
  <si>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</si>
  <si>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Primici od prodaje dionica i udjela u glavnici kreditnih i ostalih fin.institucija izvan jav.sektora</t>
  </si>
  <si>
    <t>Prijedlog za 
2023.</t>
  </si>
  <si>
    <t>Godina</t>
  </si>
  <si>
    <t>Projekcija plana 
za 2023.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</si>
  <si>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</si>
  <si>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</si>
  <si>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</si>
  <si>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</si>
  <si>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</si>
  <si>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</si>
  <si>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</si>
  <si>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</si>
  <si>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</si>
  <si>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</si>
  <si>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</si>
  <si>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</si>
  <si>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</si>
  <si>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</si>
  <si>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</si>
  <si>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</si>
  <si>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</si>
  <si>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</si>
  <si>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</si>
  <si>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</si>
  <si>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</si>
  <si>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</si>
  <si>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</si>
  <si>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</si>
  <si>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</si>
  <si>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</si>
  <si>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</si>
  <si>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</si>
  <si>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</si>
  <si>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</si>
  <si>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</si>
  <si>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</si>
  <si>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</si>
  <si>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</si>
  <si>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</si>
  <si>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</si>
  <si>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</si>
  <si>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</si>
  <si>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</si>
  <si>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</si>
  <si>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</si>
  <si>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</si>
  <si>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</si>
  <si>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</si>
  <si>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</si>
  <si>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</si>
  <si>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</si>
  <si>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</si>
  <si>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</si>
  <si>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</si>
  <si>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</si>
  <si>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</si>
  <si>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</si>
  <si>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</si>
  <si>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</si>
  <si>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</si>
  <si>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</si>
  <si>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</si>
  <si>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</si>
  <si>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</si>
  <si>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</si>
  <si>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</si>
  <si>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</si>
  <si>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</si>
  <si>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</si>
  <si>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</si>
  <si>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</si>
  <si>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</si>
  <si>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PRIJEDLOG FINANCIJSKOG PLANA ZA 2022. I PROJEKCIJA PLANA ZA 2023. I 2024. GODINU</t>
  </si>
  <si>
    <t>Prijedlog plana 
za 2022.</t>
  </si>
  <si>
    <t>Projekcija plana
za 2023.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</si>
  <si>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</si>
  <si>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</si>
  <si>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</si>
  <si>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</si>
  <si>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</si>
  <si>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</si>
  <si>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</si>
  <si>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</si>
  <si>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</si>
  <si>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</si>
  <si>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</si>
  <si>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</si>
  <si>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</si>
  <si>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</si>
  <si>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</si>
  <si>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Prijedlog plana
za 2022.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</si>
  <si>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</si>
  <si>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</si>
  <si>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</si>
  <si>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</si>
  <si>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</si>
  <si>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</si>
  <si>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</si>
  <si>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</si>
  <si>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</si>
  <si>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</si>
  <si>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</si>
  <si>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</si>
  <si>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</si>
  <si>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</si>
  <si>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</si>
  <si>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</si>
  <si>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</si>
  <si>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</si>
  <si>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</si>
  <si>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</si>
  <si>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</si>
  <si>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</si>
  <si>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</si>
  <si>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</si>
  <si>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</si>
  <si>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</si>
  <si>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</si>
  <si>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</si>
  <si>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</si>
  <si>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</si>
  <si>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</si>
  <si>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</si>
  <si>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</si>
  <si>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</si>
  <si>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</si>
  <si>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</si>
  <si>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</si>
  <si>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</si>
  <si>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</si>
  <si>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</si>
  <si>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</si>
  <si>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</si>
  <si>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</si>
  <si>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</si>
  <si>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</si>
  <si>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</si>
  <si>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</si>
  <si>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</si>
  <si>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</si>
  <si>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</si>
  <si>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</si>
  <si>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</si>
  <si>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</si>
  <si>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</si>
  <si>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</si>
  <si>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</si>
  <si>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</si>
  <si>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</si>
  <si>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</si>
  <si>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</si>
  <si>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</si>
  <si>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</si>
  <si>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</si>
  <si>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</si>
  <si>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</si>
  <si>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</si>
  <si>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</si>
  <si>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</si>
  <si>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</si>
  <si>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</si>
  <si>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</si>
  <si>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</si>
  <si>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</si>
  <si>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</si>
  <si>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</si>
  <si>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</si>
  <si>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</si>
  <si>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</si>
  <si>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</si>
  <si>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</si>
  <si>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</si>
  <si>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</si>
  <si>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</si>
  <si>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</si>
  <si>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</si>
  <si>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</si>
  <si>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</si>
  <si>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</si>
  <si>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</si>
  <si>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</si>
  <si>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</si>
  <si>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</si>
  <si>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</si>
  <si>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</si>
  <si>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</si>
  <si>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</si>
  <si>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</si>
  <si>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A622140</t>
  </si>
  <si>
    <t>STRUČNA DJELATNOST JAVNIH ZNANSTVENIH INSTITUTA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</si>
  <si>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</si>
  <si>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</si>
  <si>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</si>
  <si>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</si>
  <si>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</si>
  <si>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</si>
  <si>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</si>
  <si>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</si>
  <si>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</si>
  <si>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</si>
  <si>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</si>
  <si>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</si>
  <si>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</si>
  <si>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</si>
  <si>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</si>
  <si>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</si>
  <si>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</si>
  <si>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</si>
  <si>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</si>
  <si>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</si>
  <si>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</si>
  <si>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</si>
  <si>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</si>
  <si>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</si>
  <si>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</si>
  <si>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</si>
  <si>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</si>
  <si>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</si>
  <si>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</si>
  <si>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</si>
  <si>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</si>
  <si>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</si>
  <si>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</si>
  <si>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</si>
  <si>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</si>
  <si>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</si>
  <si>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</si>
  <si>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</si>
  <si>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</si>
  <si>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</si>
  <si>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</si>
  <si>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</si>
  <si>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</si>
  <si>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</si>
  <si>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</si>
  <si>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</si>
  <si>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</si>
  <si>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</si>
  <si>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</si>
  <si>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</si>
  <si>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</si>
  <si>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</si>
  <si>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</si>
  <si>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</si>
  <si>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</si>
  <si>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</si>
  <si>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</si>
  <si>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</si>
  <si>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</si>
  <si>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</si>
  <si>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</si>
  <si>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</si>
  <si>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A768060</t>
  </si>
  <si>
    <t>OBZOR 2020. - SUDJELOVANJE REPUBLIKE HRVATSKE U EUROPSKOM ZAJEDNIČKOM PODUZEĆU ZA RAČUNALSTVO VISOKIH PERFORMANSI - EUROHPC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</si>
  <si>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</si>
  <si>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</si>
  <si>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</si>
  <si>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</si>
  <si>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</si>
  <si>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</si>
  <si>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</si>
  <si>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</si>
  <si>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</si>
  <si>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</si>
  <si>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</si>
  <si>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</si>
  <si>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</si>
  <si>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</si>
  <si>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</si>
  <si>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</si>
  <si>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</si>
  <si>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</si>
  <si>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</si>
  <si>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</si>
  <si>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</si>
  <si>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</si>
  <si>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</si>
  <si>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</si>
  <si>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</si>
  <si>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</si>
  <si>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</si>
  <si>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</si>
  <si>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</si>
  <si>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</si>
  <si>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</si>
  <si>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</si>
  <si>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</si>
  <si>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</si>
  <si>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UNAPRIJEĐENJE SUSTAVA PREDTERCIJALNOG OBRAZOVANJA</t>
  </si>
  <si>
    <t>K578064</t>
  </si>
  <si>
    <t>CENTAR ZA ODGOJ I OBRAZOVANJE ČAKOVEC</t>
  </si>
  <si>
    <t>K578067</t>
  </si>
  <si>
    <t>PODKOMPONENTA C3.2. PODIZANJE ISTRAŽIVAČKOG I INOVACIJSKOG KAPACITETA - NPOO</t>
  </si>
  <si>
    <t>K578068</t>
  </si>
  <si>
    <t>PODKOMPONENTA C3.1. R1-I3 IZGRADNJA, DOGRADNJA, REKONSTRUKCIJA I OPREMANJE SREDNJIH ŠKOLA - NPOO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</si>
  <si>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</si>
  <si>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</si>
  <si>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</si>
  <si>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</si>
  <si>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</si>
  <si>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</si>
  <si>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</si>
  <si>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</si>
  <si>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</si>
  <si>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OBNOVA INFRASTRUKTURE I OPREME U PODRUČJU OBRAZOVANJA OŠTEĆENE POTRESOM – NPOO</t>
  </si>
  <si>
    <t>K622141</t>
  </si>
  <si>
    <t>SUFINANCIRANJE POTRESOM STRADALIH JAVNIH INSTITUTA</t>
  </si>
  <si>
    <t>K676064</t>
  </si>
  <si>
    <t>TALIJANSKA SŠ LEONARDO DA VINCI BUJE-REKONSTRUKCIJA I DOGRADNJA</t>
  </si>
  <si>
    <t>K676066</t>
  </si>
  <si>
    <t>OBNOVA INFRASTRUKTURE I OPREME U PODRUČJU OBRAZOVANJA OŠTEĆENE POTRESOM - NPOO</t>
  </si>
  <si>
    <t>K676067</t>
  </si>
  <si>
    <t>PODKOMPONENTA C3.1. R1-I1 IZGRADNJA, DOGRADNJA, REKONSTRUKCIJA I OPREMANJE PREDŠKOLSKIH USTANOVA - NPOO</t>
  </si>
  <si>
    <t>K679116</t>
  </si>
  <si>
    <t>K679119</t>
  </si>
  <si>
    <t>K679120</t>
  </si>
  <si>
    <t>SUFINANCIRANJE POTRESOM STRADALIH VISOKIH UČILIŠTA</t>
  </si>
  <si>
    <t>K679121</t>
  </si>
  <si>
    <t>PODKOMPONENTA C3.1. R2-I1 DIGITALNA PREOBRAZBA VISOKOG OBRAZOVANJA - NPOO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</si>
  <si>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</si>
  <si>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</si>
  <si>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</si>
  <si>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</si>
  <si>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</si>
  <si>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OP UČINKOVITI LJUDSKI POTENCIJALI - PRIORITET 3</t>
  </si>
  <si>
    <t>K767031</t>
  </si>
  <si>
    <t>OŠ MIJATA STOJANOVIĆA U BABINOJ GREDI</t>
  </si>
  <si>
    <t>K768066</t>
  </si>
  <si>
    <t>K768067</t>
  </si>
  <si>
    <t>PODKOMPONENTA C3.1. R1-I2 IZGRADNJA, DOGRADNJA, REKONSTRUKCIJA I OPREMANJE OSNOVNIH ŠKOLA ZA POTREBE JEDNOSMJENSKOG RADA I CJELODNEVNE NASTAVE - NPOO</t>
  </si>
  <si>
    <t>K814011</t>
  </si>
  <si>
    <t>OP UČINKOVITI LJUDSKI POTENCIJALI, PRIORITET 10</t>
  </si>
  <si>
    <t>K814012</t>
  </si>
  <si>
    <t>OP UČNIKOVITI LJUDSKI POTENCIJALI - PRIORITET 3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</si>
  <si>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</si>
  <si>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</si>
  <si>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</si>
  <si>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</si>
  <si>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</si>
  <si>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</si>
  <si>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</si>
  <si>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</si>
  <si>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</si>
  <si>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</si>
  <si>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</si>
  <si>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</si>
  <si>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</si>
  <si>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</si>
  <si>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</si>
  <si>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</si>
  <si>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A679071.032</t>
  </si>
  <si>
    <t>HARISA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</si>
  <si>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</si>
  <si>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</si>
  <si>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</si>
  <si>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</si>
  <si>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</si>
  <si>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</si>
  <si>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</si>
  <si>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</si>
  <si>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</si>
  <si>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</si>
  <si>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</si>
  <si>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</si>
  <si>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</si>
  <si>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</si>
  <si>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A679071.041</t>
  </si>
  <si>
    <t>Generation Peace: Children, Conflict and Competing Identities in Europe</t>
  </si>
  <si>
    <t>A679071.042</t>
  </si>
  <si>
    <t>Interpreting Child-Centredness to support Quality and Diversity in Early Childhood Education and Care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</si>
  <si>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</si>
  <si>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</si>
  <si>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</si>
  <si>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</si>
  <si>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</si>
  <si>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</si>
  <si>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A679071.047</t>
  </si>
  <si>
    <t>ERASMUS+ STRATEŠKO PARTNERSTVO INSPIRED -  Innovative Solutions for Practicallity and Impact in Refugee and Migration Oriented Education (agreement no. 2017-1-HR01-KA203-035359)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</si>
  <si>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</si>
  <si>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</si>
  <si>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</si>
  <si>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</si>
  <si>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</si>
  <si>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</si>
  <si>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</si>
  <si>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</si>
  <si>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</si>
  <si>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</si>
  <si>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</si>
  <si>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</si>
  <si>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</si>
  <si>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</si>
  <si>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</si>
  <si>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</si>
  <si>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</si>
  <si>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</si>
  <si>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</si>
  <si>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</si>
  <si>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</si>
  <si>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</si>
  <si>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</si>
  <si>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</si>
  <si>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</si>
  <si>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</si>
  <si>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</si>
  <si>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</si>
  <si>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</si>
  <si>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</si>
  <si>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</si>
  <si>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</si>
  <si>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</si>
  <si>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</si>
  <si>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</si>
  <si>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</si>
  <si>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</si>
  <si>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</si>
  <si>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</si>
  <si>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</si>
  <si>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</si>
  <si>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</si>
  <si>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</si>
  <si>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</si>
  <si>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</si>
  <si>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</si>
  <si>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</si>
  <si>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</si>
  <si>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</si>
  <si>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</si>
  <si>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</si>
  <si>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</si>
  <si>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</si>
  <si>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</si>
  <si>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</si>
  <si>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</si>
  <si>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</si>
  <si>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A679072.088</t>
  </si>
  <si>
    <t>BEAT - Blue enhancement action for technology transfer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</si>
  <si>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</si>
  <si>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</si>
  <si>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</si>
  <si>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</si>
  <si>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</si>
  <si>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</si>
  <si>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</si>
  <si>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</si>
  <si>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</si>
  <si>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</si>
  <si>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</si>
  <si>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</si>
  <si>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</si>
  <si>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</si>
  <si>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</si>
  <si>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</si>
  <si>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A679072.098</t>
  </si>
  <si>
    <t>Peshes - Erazmus +</t>
  </si>
  <si>
    <t>A679072.099</t>
  </si>
  <si>
    <t>INNO HPC</t>
  </si>
  <si>
    <t>A679072.100</t>
  </si>
  <si>
    <t>ORG BIO</t>
  </si>
  <si>
    <t>A679072.101</t>
  </si>
  <si>
    <t>In Math</t>
  </si>
  <si>
    <t>A679072.102</t>
  </si>
  <si>
    <t>'Roles of miRNAs in Herpes simplex virus 1 infection“ (HSVmiR-IJ)</t>
  </si>
  <si>
    <t>A679072.103</t>
  </si>
  <si>
    <t>'ERASMUS+ CAMPMASTER, SVEUČILIŠTE U RIJECI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</si>
  <si>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</si>
  <si>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</si>
  <si>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</si>
  <si>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</si>
  <si>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</si>
  <si>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</si>
  <si>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</si>
  <si>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</si>
  <si>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A679072.109</t>
  </si>
  <si>
    <t>AHEH</t>
  </si>
  <si>
    <t>A679072.110</t>
  </si>
  <si>
    <t>AThEME</t>
  </si>
  <si>
    <t>A679072.111</t>
  </si>
  <si>
    <t>E-confidence</t>
  </si>
  <si>
    <t>A679072.112</t>
  </si>
  <si>
    <t>HRMinHEI</t>
  </si>
  <si>
    <t>A679072.113</t>
  </si>
  <si>
    <t>ERASMUS+ ATHLETS FOOT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</si>
  <si>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</si>
  <si>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</si>
  <si>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</si>
  <si>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</si>
  <si>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</si>
  <si>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</si>
  <si>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A679072.117</t>
  </si>
  <si>
    <t>FOST INNO EU</t>
  </si>
  <si>
    <t>A679072.118</t>
  </si>
  <si>
    <t>ERASMUS+ FOODBIZ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</si>
  <si>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</si>
  <si>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</si>
  <si>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</si>
  <si>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</si>
  <si>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</si>
  <si>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</si>
  <si>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</si>
  <si>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</si>
  <si>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</si>
  <si>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</si>
  <si>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</si>
  <si>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</si>
  <si>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</si>
  <si>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</si>
  <si>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</si>
  <si>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</si>
  <si>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</si>
  <si>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</si>
  <si>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</si>
  <si>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</si>
  <si>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</si>
  <si>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</si>
  <si>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</si>
  <si>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</si>
  <si>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</si>
  <si>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</si>
  <si>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</si>
  <si>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</si>
  <si>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</si>
  <si>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</si>
  <si>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</si>
  <si>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</si>
  <si>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</si>
  <si>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</si>
  <si>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</si>
  <si>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</si>
  <si>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</si>
  <si>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</si>
  <si>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</si>
  <si>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</si>
  <si>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A679073.007</t>
  </si>
  <si>
    <t>IDEA - digitalno poduzetništvo</t>
  </si>
  <si>
    <t>A679073.008</t>
  </si>
  <si>
    <t>EXCHANGE - Istraživanje prekogranične vodene biološke raznolikosti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</si>
  <si>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</si>
  <si>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</si>
  <si>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</si>
  <si>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</si>
  <si>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</si>
  <si>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</si>
  <si>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</si>
  <si>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</si>
  <si>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</si>
  <si>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</si>
  <si>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</si>
  <si>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</si>
  <si>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</si>
  <si>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</si>
  <si>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</si>
  <si>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</si>
  <si>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A679073.017</t>
  </si>
  <si>
    <t>HKO-ELE- primjena HKO za sveučilišne studijske programe u području elektrotehnike</t>
  </si>
  <si>
    <t>A679073.018</t>
  </si>
  <si>
    <t>Izvrsnost i učinkovitost u visokom obrazovanju u polju ekonomije E4</t>
  </si>
  <si>
    <t>A679073.019</t>
  </si>
  <si>
    <t>Agrobioraznolikost- osnova za prilagodbu i ublažavanje posljedica klimatskih promjena u poljoprivredi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</si>
  <si>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</si>
  <si>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</si>
  <si>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</si>
  <si>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</si>
  <si>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</si>
  <si>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</si>
  <si>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</si>
  <si>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</si>
  <si>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</si>
  <si>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</si>
  <si>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</si>
  <si>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</si>
  <si>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</si>
  <si>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</si>
  <si>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</si>
  <si>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</si>
  <si>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</si>
  <si>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</si>
  <si>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</si>
  <si>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</si>
  <si>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</si>
  <si>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</si>
  <si>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</si>
  <si>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</si>
  <si>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</si>
  <si>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</si>
  <si>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</si>
  <si>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</si>
  <si>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</si>
  <si>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</si>
  <si>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</si>
  <si>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</si>
  <si>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</si>
  <si>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</si>
  <si>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</si>
  <si>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</si>
  <si>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A679076.009</t>
  </si>
  <si>
    <t>Moderno obrazovanje prvostupnika mehatronike</t>
  </si>
  <si>
    <t>A679076.011</t>
  </si>
  <si>
    <t>Snaga vještina</t>
  </si>
  <si>
    <t>A679076.012</t>
  </si>
  <si>
    <t>Bespilotne letjelice</t>
  </si>
  <si>
    <t>A679076.013</t>
  </si>
  <si>
    <t>Stipendiranje studenata visokih učilišta iz područja biotehničkih znanosti na području Slavonije, Baranje i Srijema</t>
  </si>
  <si>
    <t>A679076.014</t>
  </si>
  <si>
    <t>Measures</t>
  </si>
  <si>
    <t>A679076.015</t>
  </si>
  <si>
    <t>Izgradnja studentskog doma u Požegi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</si>
  <si>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</si>
  <si>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</si>
  <si>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</si>
  <si>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</si>
  <si>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</si>
  <si>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</si>
  <si>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</si>
  <si>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</si>
  <si>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</si>
  <si>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</si>
  <si>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</si>
  <si>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</si>
  <si>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</si>
  <si>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</si>
  <si>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</si>
  <si>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</si>
  <si>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</si>
  <si>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</si>
  <si>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</si>
  <si>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</si>
  <si>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</si>
  <si>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</si>
  <si>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</si>
  <si>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</si>
  <si>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</si>
  <si>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</si>
  <si>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</si>
  <si>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</si>
  <si>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</si>
  <si>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</si>
  <si>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</si>
  <si>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</si>
  <si>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</si>
  <si>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</si>
  <si>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</si>
  <si>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</si>
  <si>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</si>
  <si>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</si>
  <si>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</si>
  <si>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</si>
  <si>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A679077.087</t>
  </si>
  <si>
    <t>Usluge podrške poslovanju i inovacijama u Hrvatskoj - upravljanje ključnim računima - SSBI-CRO-KAM5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</si>
  <si>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</si>
  <si>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</si>
  <si>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</si>
  <si>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</si>
  <si>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</si>
  <si>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</si>
  <si>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</si>
  <si>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</si>
  <si>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</si>
  <si>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</si>
  <si>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</si>
  <si>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</si>
  <si>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</si>
  <si>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</si>
  <si>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</si>
  <si>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</si>
  <si>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</si>
  <si>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</si>
  <si>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</si>
  <si>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</si>
  <si>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</si>
  <si>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</si>
  <si>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A679077.100</t>
  </si>
  <si>
    <t>SAPPHIRE - Projekt „System Automation of PEMFCs with Prognostics and Health management for Improved Reliability and Economy“</t>
  </si>
  <si>
    <t>A679077.101</t>
  </si>
  <si>
    <t>AUTORE - Automotive derivative energy system</t>
  </si>
  <si>
    <t>A679077.102</t>
  </si>
  <si>
    <t>REFUNDACIJE DJELATNICIMA KOJI SUDJELUJU NA EU PROJEKTIMA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</si>
  <si>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</si>
  <si>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</si>
  <si>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</si>
  <si>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</si>
  <si>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</si>
  <si>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</si>
  <si>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</si>
  <si>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</si>
  <si>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</si>
  <si>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</si>
  <si>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</si>
  <si>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</si>
  <si>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</si>
  <si>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</si>
  <si>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</si>
  <si>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</si>
  <si>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</si>
  <si>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</si>
  <si>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A679078.155</t>
  </si>
  <si>
    <t>CEKOM-Centar kompetencija za digitalnu transformaciju prehrambene industrije na ruralnim područjima</t>
  </si>
  <si>
    <t>A679078.156</t>
  </si>
  <si>
    <t>STEM revolucija u zajednici</t>
  </si>
  <si>
    <t>A679078.157</t>
  </si>
  <si>
    <t>ORKAN-Okvir za kontrolu i nadzor bespilotnih letjelica-HRZZ</t>
  </si>
  <si>
    <t>A679078.158</t>
  </si>
  <si>
    <t>ERASMUS+Higher education-International Capacity Building</t>
  </si>
  <si>
    <t>A679078.159</t>
  </si>
  <si>
    <t>Erasmus+AAMSIAQ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</si>
  <si>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</si>
  <si>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</si>
  <si>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</si>
  <si>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</si>
  <si>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</si>
  <si>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</si>
  <si>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</si>
  <si>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</si>
  <si>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</si>
  <si>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</si>
  <si>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A679078.190</t>
  </si>
  <si>
    <t>ERASMUS +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</si>
  <si>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</si>
  <si>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</si>
  <si>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</si>
  <si>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</si>
  <si>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</si>
  <si>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</si>
  <si>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</si>
  <si>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</si>
  <si>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</si>
  <si>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</si>
  <si>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A679078.196</t>
  </si>
  <si>
    <t>ERASMUS + Vrijeme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</si>
  <si>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</si>
  <si>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</si>
  <si>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</si>
  <si>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</si>
  <si>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</si>
  <si>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</si>
  <si>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</si>
  <si>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</si>
  <si>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A679078.201</t>
  </si>
  <si>
    <t>Arhitektonski zagrobni život: Višesektorski utjecaj arhitektonske kvalifikacije</t>
  </si>
  <si>
    <t>A679078.202</t>
  </si>
  <si>
    <t>Zdravo urbano okruženje: Razvoj višeg obrazovanja iz arhitekture i građevine u Bosni i Hercegovini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</si>
  <si>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</si>
  <si>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</si>
  <si>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</si>
  <si>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</si>
  <si>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A679078.205</t>
  </si>
  <si>
    <t>MARDS - Reforma doktorskog studija u Crnoj Gori i Albaniji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</si>
  <si>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</si>
  <si>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</si>
  <si>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</si>
  <si>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</si>
  <si>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</si>
  <si>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</si>
  <si>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</si>
  <si>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</si>
  <si>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</si>
  <si>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</si>
  <si>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</si>
  <si>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</si>
  <si>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</si>
  <si>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</si>
  <si>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</si>
  <si>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</si>
  <si>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</si>
  <si>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</si>
  <si>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</si>
  <si>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</si>
  <si>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</si>
  <si>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</si>
  <si>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</si>
  <si>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</si>
  <si>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</si>
  <si>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</si>
  <si>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</si>
  <si>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</si>
  <si>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</si>
  <si>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</si>
  <si>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</si>
  <si>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</si>
  <si>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</si>
  <si>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</si>
  <si>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</si>
  <si>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</si>
  <si>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</si>
  <si>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</si>
  <si>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</si>
  <si>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</si>
  <si>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</si>
  <si>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</si>
  <si>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</si>
  <si>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</si>
  <si>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</si>
  <si>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</si>
  <si>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</si>
  <si>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</si>
  <si>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</si>
  <si>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</si>
  <si>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</si>
  <si>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</si>
  <si>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</si>
  <si>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</si>
  <si>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</si>
  <si>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</si>
  <si>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</si>
  <si>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</si>
  <si>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</si>
  <si>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</si>
  <si>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</si>
  <si>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</si>
  <si>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</si>
  <si>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</si>
  <si>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</si>
  <si>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A679078.240</t>
  </si>
  <si>
    <t>ARS MECHANICA za nove kompetencije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</si>
  <si>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</si>
  <si>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</si>
  <si>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</si>
  <si>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</si>
  <si>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</si>
  <si>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</si>
  <si>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</si>
  <si>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</si>
  <si>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A679078.245</t>
  </si>
  <si>
    <t>IN AQUA - Integracija visokog stupnja obnovljivih izvora energije u akvakulturna uzgajališta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</si>
  <si>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</si>
  <si>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</si>
  <si>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</si>
  <si>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</si>
  <si>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</si>
  <si>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</si>
  <si>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</si>
  <si>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</si>
  <si>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A679078.250</t>
  </si>
  <si>
    <t>LoMI- internacionalizacijom preskačemo granice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</si>
  <si>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</si>
  <si>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</si>
  <si>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</si>
  <si>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</si>
  <si>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</si>
  <si>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</si>
  <si>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A679078.254</t>
  </si>
  <si>
    <t>A679078.256</t>
  </si>
  <si>
    <t>FOKUS - Prisilno raseljavanje i solidarnost zajednice domaćina izbjeglica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</si>
  <si>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</si>
  <si>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</si>
  <si>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</si>
  <si>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</si>
  <si>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</si>
  <si>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</si>
  <si>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</si>
  <si>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</si>
  <si>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</si>
  <si>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</si>
  <si>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</si>
  <si>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</si>
  <si>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</si>
  <si>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</si>
  <si>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</si>
  <si>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</si>
  <si>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</si>
  <si>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</si>
  <si>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</si>
  <si>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</si>
  <si>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</si>
  <si>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</si>
  <si>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</si>
  <si>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</si>
  <si>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</si>
  <si>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</si>
  <si>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</si>
  <si>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</si>
  <si>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</si>
  <si>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</si>
  <si>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</si>
  <si>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</si>
  <si>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A679078.273</t>
  </si>
  <si>
    <t>HKO projekt Promjena hrvatskog kvalifikacijskog okvira u području biomedicinskog inženjerstva HKO-BI</t>
  </si>
  <si>
    <t>A679078.274</t>
  </si>
  <si>
    <t>ESF CasMouse - Genomsko inženjerstvo i genska regulacija u staničnim linijama i modelnim organizmima tehnologijom CRISPR/Cas9</t>
  </si>
  <si>
    <t>A679078.275</t>
  </si>
  <si>
    <t>Razvoj sustava za ispitivanje višefaznih strujanja i izgaranja s ciljem povećanja istraživačkih aktivnosti znanstvenog i poslovnog sektora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</si>
  <si>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</si>
  <si>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</si>
  <si>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</si>
  <si>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</si>
  <si>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</si>
  <si>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</si>
  <si>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</si>
  <si>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</si>
  <si>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</si>
  <si>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</si>
  <si>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</si>
  <si>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</si>
  <si>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</si>
  <si>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</si>
  <si>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</si>
  <si>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</si>
  <si>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</si>
  <si>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</si>
  <si>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</si>
  <si>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</si>
  <si>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</si>
  <si>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</si>
  <si>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</si>
  <si>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</si>
  <si>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</si>
  <si>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</si>
  <si>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</si>
  <si>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</si>
  <si>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</si>
  <si>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</si>
  <si>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</si>
  <si>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</si>
  <si>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</si>
  <si>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</si>
  <si>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</si>
  <si>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</si>
  <si>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A679078.297</t>
  </si>
  <si>
    <t>UNICEF - Poboljšanje inkluzivnosti početnog obrazovanja učitelja za obrazovanje i njegu u ranom djetinjstvu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</si>
  <si>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</si>
  <si>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</si>
  <si>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</si>
  <si>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</si>
  <si>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</si>
  <si>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</si>
  <si>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</si>
  <si>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</si>
  <si>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</si>
  <si>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</si>
  <si>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</si>
  <si>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</si>
  <si>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</si>
  <si>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</si>
  <si>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</si>
  <si>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</si>
  <si>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</si>
  <si>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</si>
  <si>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</si>
  <si>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</si>
  <si>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</si>
  <si>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</si>
  <si>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</si>
  <si>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</si>
  <si>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</si>
  <si>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</si>
  <si>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</si>
  <si>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</si>
  <si>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</si>
  <si>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</si>
  <si>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</si>
  <si>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</si>
  <si>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</si>
  <si>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</si>
  <si>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</si>
  <si>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</si>
  <si>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</si>
  <si>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</si>
  <si>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</si>
  <si>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</si>
  <si>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</si>
  <si>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</si>
  <si>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</si>
  <si>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</si>
  <si>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</si>
  <si>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</si>
  <si>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</si>
  <si>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</si>
  <si>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</si>
  <si>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</si>
  <si>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</si>
  <si>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</si>
  <si>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</si>
  <si>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</si>
  <si>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</si>
  <si>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</si>
  <si>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</si>
  <si>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</si>
  <si>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</si>
  <si>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</si>
  <si>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</si>
  <si>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</si>
  <si>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</si>
  <si>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</si>
  <si>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</si>
  <si>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</si>
  <si>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</si>
  <si>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</si>
  <si>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</si>
  <si>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</si>
  <si>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</si>
  <si>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</si>
  <si>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</si>
  <si>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</si>
  <si>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</si>
  <si>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</si>
  <si>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</si>
  <si>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</si>
  <si>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</si>
  <si>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</si>
  <si>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</si>
  <si>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</si>
  <si>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</si>
  <si>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</si>
  <si>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</si>
  <si>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</si>
  <si>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</si>
  <si>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</si>
  <si>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</si>
  <si>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</si>
  <si>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</si>
  <si>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</si>
  <si>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A679078.345</t>
  </si>
  <si>
    <t>ERASMUS + Projekt: SC4H Creating mehanisam for continous implementation of  the sports club for health guidelines in EU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</si>
  <si>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</si>
  <si>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</si>
  <si>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</si>
  <si>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</si>
  <si>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A679078.348</t>
  </si>
  <si>
    <t>SESAR-FPM</t>
  </si>
  <si>
    <t>A679078.349</t>
  </si>
  <si>
    <t>SABRINA</t>
  </si>
  <si>
    <t>A679078.350</t>
  </si>
  <si>
    <t>SLAIN</t>
  </si>
  <si>
    <t>A679078.351</t>
  </si>
  <si>
    <t>SumBoost</t>
  </si>
  <si>
    <t>A679078.352</t>
  </si>
  <si>
    <t>CA16227-2 INVESTIGATION AND MATEMATICAL ANALYSIS OF AVANT-GARED DISEASE CONTROL VIA MOSQUITO NANO TECH REPELLENTS</t>
  </si>
  <si>
    <t>A679078.353</t>
  </si>
  <si>
    <t>Modernizacija infrastrukture Znanstveno-istraživačkog centra za tekstil (MI-TSRC) KK.01.1.1.02.0024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</si>
  <si>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</si>
  <si>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</si>
  <si>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</si>
  <si>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</si>
  <si>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</si>
  <si>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</si>
  <si>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</si>
  <si>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</si>
  <si>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A679078.359</t>
  </si>
  <si>
    <t>KALPROTEKTIN (SVETI DUH)</t>
  </si>
  <si>
    <t>A679078.360</t>
  </si>
  <si>
    <t>SIR JE IN (AGRONOMSKI FAKULTET)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</si>
  <si>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</si>
  <si>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</si>
  <si>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</si>
  <si>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</si>
  <si>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</si>
  <si>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</si>
  <si>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A679078.364</t>
  </si>
  <si>
    <t>IBD-BIOM - Diagnostic and prognostic biomarkers for inflammatory bowel disease - orig br ug: GA-305479</t>
  </si>
  <si>
    <t>A679078.365</t>
  </si>
  <si>
    <t>Tenure Track Pilot Programe - Exotic Nuclear Structure and Dynamics</t>
  </si>
  <si>
    <t>A679078.366</t>
  </si>
  <si>
    <t>KLIMA-4HR</t>
  </si>
  <si>
    <t>A679078.367</t>
  </si>
  <si>
    <t>COST CA 18232- potpora</t>
  </si>
  <si>
    <t>A679078.368</t>
  </si>
  <si>
    <t>Flora Croatica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</si>
  <si>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</si>
  <si>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</si>
  <si>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</si>
  <si>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</si>
  <si>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</si>
  <si>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</si>
  <si>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A679078.372</t>
  </si>
  <si>
    <t>CEF Translation Automation Services for EU ouncil Presidency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</si>
  <si>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</si>
  <si>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</si>
  <si>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</si>
  <si>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</si>
  <si>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</si>
  <si>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</si>
  <si>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</si>
  <si>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</si>
  <si>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A679078.377</t>
  </si>
  <si>
    <t>Obzor 2020 Accelerate co-creation by setting up a multi -actor platform for impact from Social Sciences and Humanities ACCOMPLISSH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</si>
  <si>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</si>
  <si>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</si>
  <si>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</si>
  <si>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</si>
  <si>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A679078.380</t>
  </si>
  <si>
    <t>Cost 2020 Kišiček</t>
  </si>
  <si>
    <t>A679078.381</t>
  </si>
  <si>
    <t>SHARED Čorkalo Biruški Dinka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</si>
  <si>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</si>
  <si>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</si>
  <si>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</si>
  <si>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</si>
  <si>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</si>
  <si>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</si>
  <si>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</si>
  <si>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</si>
  <si>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</si>
  <si>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</si>
  <si>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A679078.387</t>
  </si>
  <si>
    <t>LIDAR</t>
  </si>
  <si>
    <t>A679078.389</t>
  </si>
  <si>
    <t>HIDROLAB</t>
  </si>
  <si>
    <t>A679078.390</t>
  </si>
  <si>
    <t>3SMART-	Pametna zgrada -- pametna mreža -- pametni grad"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</si>
  <si>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</si>
  <si>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</si>
  <si>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</si>
  <si>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</si>
  <si>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</si>
  <si>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</si>
  <si>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A679078.394</t>
  </si>
  <si>
    <t>AIPD2 - Digitalna platforma za zaštitu privatnosti i sprječavanje zlouporaba upravljanjem životnim ciklusom osobnih podataka</t>
  </si>
  <si>
    <t>A679078.395</t>
  </si>
  <si>
    <t>ASAP - Autonomni sustav za pregled i predviđanje integriteta prometne infrastrukture"</t>
  </si>
  <si>
    <t>A679078.396</t>
  </si>
  <si>
    <t>A-UNIT - Istraživanje i razvoj napredne jedinice za autonomno upravljanje mobilnim vozilima u logistici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</si>
  <si>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</si>
  <si>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</si>
  <si>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</si>
  <si>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</si>
  <si>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</si>
  <si>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</si>
  <si>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</si>
  <si>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</si>
  <si>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A679078.401</t>
  </si>
  <si>
    <t>CEGLOG - Istraživanje i razvoj jedinstvenog sustava za logističku i transportnu optimizaciju - Collaborative Elastic and Green Logistics - CEGLog</t>
  </si>
  <si>
    <t>A679078.402</t>
  </si>
  <si>
    <t>CEKOMSUS -Centar kompetencija za kibernetičku sigurnost upravljačkih sustava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</si>
  <si>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</si>
  <si>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</si>
  <si>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</si>
  <si>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</si>
  <si>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</si>
  <si>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</si>
  <si>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A679078.406</t>
  </si>
  <si>
    <t>COST11-04-Slučajno mrežno kodiranje i dizajni nad GF(q)"</t>
  </si>
  <si>
    <t>A679078.407</t>
  </si>
  <si>
    <t>CUVME2 - Kooperativna bespilotna vozila u pomorskom okruženju: Eksperimenti na moru 2</t>
  </si>
  <si>
    <t>A679078.408</t>
  </si>
  <si>
    <t>CYBERAUT - Inovativno rješenje za upravljanje kibernetičkom sigurnosti industrijskih sustava automatizacije postrojenja i procesa</t>
  </si>
  <si>
    <t>A679078.409</t>
  </si>
  <si>
    <t>DIG-Digitalni mjeriteljski lanac sljedivosti za izmjenični napon i struju</t>
  </si>
  <si>
    <t>A679078.410</t>
  </si>
  <si>
    <t>DIGIT- Dig IT - Izrada standarda zanimanja i standarda kvalifikacija u djelatnostima računarstva</t>
  </si>
  <si>
    <t>A679078.411</t>
  </si>
  <si>
    <t>DJUREK-IRI2018-Povećanje razvoja novih proizvoda i usluga koji proizilaze iz aktivnosti istraživanja i razvoja</t>
  </si>
  <si>
    <t>A679078.412</t>
  </si>
  <si>
    <t>DRUNE - Razvoj uređaja za prijenos video signala ultra niske latencije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</si>
  <si>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</si>
  <si>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</si>
  <si>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</si>
  <si>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</si>
  <si>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</si>
  <si>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</si>
  <si>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A679078.416</t>
  </si>
  <si>
    <t>ENEDAT - Razvoj sustava za optimizaciju potrošnje električne energije u podatkovnim centrima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</si>
  <si>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</si>
  <si>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</si>
  <si>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</si>
  <si>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</si>
  <si>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A679078.419</t>
  </si>
  <si>
    <t>FARCROSS-Omogućavanje regionalne trgovine/razmjene električne energije kroz inovacije</t>
  </si>
  <si>
    <t>A679078.420</t>
  </si>
  <si>
    <t>FERRZBZ - FER rješenja za bolju zajednicu</t>
  </si>
  <si>
    <t>A679078.422</t>
  </si>
  <si>
    <t>FLEXIGRID-Interoperabilna rješenja za holističku implementaciju usluga fleksibilnosti u distribucijskoj mreži</t>
  </si>
  <si>
    <t>A679078.423</t>
  </si>
  <si>
    <t>GEO3EN-	Europska obrazovna mreža za geotermalnu energiju</t>
  </si>
  <si>
    <t>A679078.424</t>
  </si>
  <si>
    <t>GRCI-H2020 - ICCS Grčka</t>
  </si>
  <si>
    <t>A679078.425</t>
  </si>
  <si>
    <t>GREYP-IRI-Rzvoj Greyp platforme za mikromobilnost - GMP</t>
  </si>
  <si>
    <t>A679078.426</t>
  </si>
  <si>
    <t>GY30-OH - Pretkomercijalni razvoj inovativnog nagibno-sklopivog vozila na električni pogon</t>
  </si>
  <si>
    <t>A679078.427</t>
  </si>
  <si>
    <t>H2020-MZO-Poticanje prijava na EU projekte za znanstvenika čije su prijave EU projekata prošle prag, ali nisu financirane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</si>
  <si>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</si>
  <si>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</si>
  <si>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</si>
  <si>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</si>
  <si>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</si>
  <si>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</si>
  <si>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A679078.431</t>
  </si>
  <si>
    <t>IAFS - Razvoj integriranog sustava za zaštitu od kibernetičkih prijevara</t>
  </si>
  <si>
    <t>A679078.432</t>
  </si>
  <si>
    <t>IDEAS-Uključiv nadzor i istraživanje podatkovnih centara</t>
  </si>
  <si>
    <t>A679078.433</t>
  </si>
  <si>
    <t>IMMERSAFE-Uronjene vizualne tehnologije za sigurnosno kritične aplikacije</t>
  </si>
  <si>
    <t>A679078.434</t>
  </si>
  <si>
    <t>INNOSOC-Innovative ICT Solutions for the Societal Challenges</t>
  </si>
  <si>
    <t>A679078.435</t>
  </si>
  <si>
    <t>INTIS-Punionica električnih vozila s integriranim baterijskim spremnikom</t>
  </si>
  <si>
    <t>A679078.436</t>
  </si>
  <si>
    <t>IRES-8-Omogućavanje znanstvenih i inovacijskih partnerstava u području obnovljivih izvora energije, energetske učinkovitosti i održivih energetskih rješenja za gradove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</si>
  <si>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</si>
  <si>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</si>
  <si>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</si>
  <si>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</si>
  <si>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A679078.439</t>
  </si>
  <si>
    <t>JUMPER-Bio-inspired Synchronous Jumping Marine Sensor Networks</t>
  </si>
  <si>
    <t>A679078.440</t>
  </si>
  <si>
    <t>KINACIF13-Prijenos signala ljudskim tijelom kao ključna tehnologija za internet stvari u zdravstvenim aplikacijama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</si>
  <si>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</si>
  <si>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</si>
  <si>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</si>
  <si>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</si>
  <si>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A679078.443</t>
  </si>
  <si>
    <t>MARI-SENSE-Pomorski kognitivni sustav za potporu odlučivanju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</si>
  <si>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</si>
  <si>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</si>
  <si>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</si>
  <si>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</si>
  <si>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</si>
  <si>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</si>
  <si>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A679078.447</t>
  </si>
  <si>
    <t>MHMP - Višenamjenske platforme za praćenje zdravlja</t>
  </si>
  <si>
    <t>A679078.448</t>
  </si>
  <si>
    <t>MISW-Mitigation of space weather threats to GNSS services</t>
  </si>
  <si>
    <t>A679078.449</t>
  </si>
  <si>
    <t>MORUS-Unmanned system for maritime security and environmental monitoring</t>
  </si>
  <si>
    <t>A679078.450</t>
  </si>
  <si>
    <t>MUNIVO - Razvoj MUltifunkcionalnog NIskopodnog VOzila</t>
  </si>
  <si>
    <t>A679078.451</t>
  </si>
  <si>
    <t>NOFSLON-	Non-Foster Source-load Networks and Metasurfaces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</si>
  <si>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</si>
  <si>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</si>
  <si>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</si>
  <si>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</si>
  <si>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</si>
  <si>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</si>
  <si>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A679078.455</t>
  </si>
  <si>
    <t>PAPABUILD-Napredne akustičke i psihoakustičke dijagnostičke metode kao temelj inovativnog dizajna u građevinskoj akustici</t>
  </si>
  <si>
    <t>A679078.456</t>
  </si>
  <si>
    <t>PCC - Sustav za nadzor i kontrolu usklađenosti distribuiranih procesa u realnom vremenu, otkrivanje anomalija, rano upozoravanje i forenzičku analizu transakcija</t>
  </si>
  <si>
    <t>A679078.457</t>
  </si>
  <si>
    <t>PINOVA - Razvoj agrometeorološke platforme i mreže IoT uređaja tvrtke Pinova d.o.o.</t>
  </si>
  <si>
    <t>A679078.458</t>
  </si>
  <si>
    <t>RESDATA - Rješenja prilagodbe elektroenergetskog sustava klimatskim promjenama temeljena na velikim količinama podataka</t>
  </si>
  <si>
    <t>A679078.459</t>
  </si>
  <si>
    <t>REWAISE-Prilagodljive inovacije u ciklusu kruženja vode za pametnu ekonomiju</t>
  </si>
  <si>
    <t>A679078.460</t>
  </si>
  <si>
    <t>ROBOCOM-Ponovno promišljanje robotike za robotskog kompanjona budućnosti</t>
  </si>
  <si>
    <t>A679078.461</t>
  </si>
  <si>
    <t>ROBOGIRLS - Osnaživanje djevojaka u STEAM-u kroz robotiku i kodiranje</t>
  </si>
  <si>
    <t>A679078.462</t>
  </si>
  <si>
    <t>ROB-ROBUst mixed signal design methodologies for Smart Power ICs - ROBUSPIC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</si>
  <si>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</si>
  <si>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</si>
  <si>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</si>
  <si>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</si>
  <si>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A679078.465</t>
  </si>
  <si>
    <t>SARI - Sustav za automatsko raspoznavanje, identifikaciju te precizno mjerenje duljine plovila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</si>
  <si>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</si>
  <si>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</si>
  <si>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</si>
  <si>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</si>
  <si>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</si>
  <si>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</si>
  <si>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</si>
  <si>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</si>
  <si>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</si>
  <si>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</si>
  <si>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</si>
  <si>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</si>
  <si>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</si>
  <si>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</si>
  <si>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</si>
  <si>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</si>
  <si>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A679078.474</t>
  </si>
  <si>
    <t>V3M - Varijacijske metode u modeliranju materijala</t>
  </si>
  <si>
    <t>A679078.475</t>
  </si>
  <si>
    <t>VERIFY-New methods for verification of security and privacy mechanisms in e-commerce and e-government systems</t>
  </si>
  <si>
    <t>A679078.477</t>
  </si>
  <si>
    <t>VHEASTR-Znanstvenoistraživačka aktivnost hrvatske grupe u kolaboracijama MAGIC I CTA</t>
  </si>
  <si>
    <t>A679078.478</t>
  </si>
  <si>
    <t>A679078.479</t>
  </si>
  <si>
    <t>WALL-eWall for Active Long Living</t>
  </si>
  <si>
    <t>A679078.480</t>
  </si>
  <si>
    <t>PHOENIX People for tHe eurOpean bioENergy Mix</t>
  </si>
  <si>
    <t>A679078.482</t>
  </si>
  <si>
    <t>Better future of healthy ageing 2020.</t>
  </si>
  <si>
    <t>A679078.483</t>
  </si>
  <si>
    <t>Nova generacija Eurocod 5</t>
  </si>
  <si>
    <t>A679078.484</t>
  </si>
  <si>
    <t>SBRIPLUS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</si>
  <si>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</si>
  <si>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</si>
  <si>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</si>
  <si>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</si>
  <si>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</si>
  <si>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</si>
  <si>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</si>
  <si>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</si>
  <si>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</si>
  <si>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</si>
  <si>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</si>
  <si>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</si>
  <si>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</si>
  <si>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</si>
  <si>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A679078.492</t>
  </si>
  <si>
    <t>ERASMUS+ KA2 Strateška partnerstva -projekt: CURTING IN CONTEKST  (2019-1-SE01-KA203-060500)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</si>
  <si>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</si>
  <si>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</si>
  <si>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</si>
  <si>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</si>
  <si>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</si>
  <si>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</si>
  <si>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</si>
  <si>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</si>
  <si>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A679078.497</t>
  </si>
  <si>
    <t>EFFORTS</t>
  </si>
  <si>
    <t>A679078.498</t>
  </si>
  <si>
    <t>EUROGRADUATE</t>
  </si>
  <si>
    <t>A679078.499</t>
  </si>
  <si>
    <t>ENEMLOS</t>
  </si>
  <si>
    <t>A679078.500</t>
  </si>
  <si>
    <t>JEAN MONNET MODULE</t>
  </si>
  <si>
    <t>A679078.501</t>
  </si>
  <si>
    <t>THIRD SEKTOR IMPACT</t>
  </si>
  <si>
    <t>A679078.502</t>
  </si>
  <si>
    <t>BALKAN HOMICIDE STUDY</t>
  </si>
  <si>
    <t>A679078.503</t>
  </si>
  <si>
    <t>RCT-ESF</t>
  </si>
  <si>
    <t>A679078.504</t>
  </si>
  <si>
    <t>Jačanje znanstveno-istraživačkih I inovacijskih kapaciteta Farmaceutsko-biokemijskog fakulteta Sveučilišta u Zagrebu (FarmInova)</t>
  </si>
  <si>
    <t>A679078.505</t>
  </si>
  <si>
    <t>Primjena HKO-a u unaprjeđenju studijskih programa u području farmacije i medicinske biokemije (PharmaMedQ)</t>
  </si>
  <si>
    <t>A679078.506</t>
  </si>
  <si>
    <t>Razvoj integriranog preddiplomskog i diplomskog studija Farmacije na engleskom jeziku (Pharma5.0)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</si>
  <si>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</si>
  <si>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</si>
  <si>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</si>
  <si>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</si>
  <si>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</si>
  <si>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</si>
  <si>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</si>
  <si>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</si>
  <si>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</si>
  <si>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</si>
  <si>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</si>
  <si>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</si>
  <si>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</si>
  <si>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</si>
  <si>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</si>
  <si>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</si>
  <si>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</si>
  <si>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</si>
  <si>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</si>
  <si>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</si>
  <si>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</si>
  <si>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</si>
  <si>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</si>
  <si>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</si>
  <si>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</si>
  <si>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</si>
  <si>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</si>
  <si>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</si>
  <si>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</si>
  <si>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</si>
  <si>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</si>
  <si>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</si>
  <si>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</si>
  <si>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</si>
  <si>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</si>
  <si>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</si>
  <si>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</si>
  <si>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</si>
  <si>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</si>
  <si>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</si>
  <si>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</si>
  <si>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</si>
  <si>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</si>
  <si>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OPSVIO- Ortho-positronium decay and the search for CP and CPT violation in leptonic secto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</si>
  <si>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</si>
  <si>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</si>
  <si>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</si>
  <si>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</si>
  <si>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</si>
  <si>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</si>
  <si>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</si>
  <si>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</si>
  <si>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</si>
  <si>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</si>
  <si>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</si>
  <si>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</si>
  <si>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</si>
  <si>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</si>
  <si>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</si>
  <si>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</si>
  <si>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</si>
  <si>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</si>
  <si>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</si>
  <si>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</si>
  <si>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</si>
  <si>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</si>
  <si>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</si>
  <si>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</si>
  <si>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</si>
  <si>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</si>
  <si>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</si>
  <si>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</si>
  <si>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</si>
  <si>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</si>
  <si>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</si>
  <si>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</si>
  <si>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</si>
  <si>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</si>
  <si>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</si>
  <si>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</si>
  <si>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</si>
  <si>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</si>
  <si>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</si>
  <si>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</si>
  <si>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</si>
  <si>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</si>
  <si>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</si>
  <si>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</si>
  <si>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</si>
  <si>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</si>
  <si>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</si>
  <si>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</si>
  <si>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</si>
  <si>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</si>
  <si>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</si>
  <si>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</si>
  <si>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</si>
  <si>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</si>
  <si>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</si>
  <si>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</si>
  <si>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</si>
  <si>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</si>
  <si>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</si>
  <si>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</si>
  <si>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</si>
  <si>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</si>
  <si>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</si>
  <si>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</si>
  <si>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</si>
  <si>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</si>
  <si>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</si>
  <si>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</si>
  <si>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</si>
  <si>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</si>
  <si>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</si>
  <si>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</si>
  <si>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</si>
  <si>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</si>
  <si>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</si>
  <si>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</si>
  <si>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</si>
  <si>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</si>
  <si>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</si>
  <si>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A679081.007</t>
  </si>
  <si>
    <t>Povećanje razvoja novih proizvoda i usluga koji proizlaze iz aktivnosti istraživanja i razvoj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</si>
  <si>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</si>
  <si>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</si>
  <si>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</si>
  <si>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</si>
  <si>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A679115.003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</si>
  <si>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</si>
  <si>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</si>
  <si>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</si>
  <si>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</si>
  <si>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</si>
  <si>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</si>
  <si>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</si>
  <si>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</si>
  <si>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</si>
  <si>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</si>
  <si>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</si>
  <si>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</si>
  <si>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</si>
  <si>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</si>
  <si>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</si>
  <si>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</si>
  <si>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</si>
  <si>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</si>
  <si>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</si>
  <si>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</si>
  <si>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</si>
  <si>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</si>
  <si>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</si>
  <si>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</si>
  <si>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</si>
  <si>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A622125.069</t>
  </si>
  <si>
    <t>INTERREG V-A Italija-Hrvatska 2014.-2020.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</si>
  <si>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</si>
  <si>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</si>
  <si>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</si>
  <si>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</si>
  <si>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</si>
  <si>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</si>
  <si>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</si>
  <si>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</si>
  <si>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</si>
  <si>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</si>
  <si>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</si>
  <si>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</si>
  <si>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</si>
  <si>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</si>
  <si>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</si>
  <si>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</si>
  <si>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</si>
  <si>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</si>
  <si>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</si>
  <si>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</si>
  <si>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</si>
  <si>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</si>
  <si>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</si>
  <si>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</si>
  <si>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</si>
  <si>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</si>
  <si>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</si>
  <si>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</si>
  <si>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</si>
  <si>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</si>
  <si>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A622125.085</t>
  </si>
  <si>
    <t>A622125.086</t>
  </si>
  <si>
    <t>Project BORDERPASS within the Danube Transnational Programme</t>
  </si>
  <si>
    <t>A622125.087</t>
  </si>
  <si>
    <t>Project 'RAMBOLL '</t>
  </si>
  <si>
    <t>A622125.088</t>
  </si>
  <si>
    <t>Adoption of Industrial Relations  towards new Forms of Work</t>
  </si>
  <si>
    <t>A622125.089</t>
  </si>
  <si>
    <t>Erasmus + the Union programme for education,training, youth and sport and repealing Decisions</t>
  </si>
  <si>
    <t>A622125.090</t>
  </si>
  <si>
    <t>H2020 ECDP-European Cohort Development Project</t>
  </si>
  <si>
    <t>A622125.091</t>
  </si>
  <si>
    <t>ERASMUS + SKILLS BORD 2017+1-ELO1-KA202-036296</t>
  </si>
  <si>
    <t>A622125.092</t>
  </si>
  <si>
    <t>EU-DONES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</si>
  <si>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</si>
  <si>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</si>
  <si>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</si>
  <si>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</si>
  <si>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</si>
  <si>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STREPUNLOCKED, Otključavanje potencijala za proizvodnju antibiotika u tlubakterija Streptomyces coelicolor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</si>
  <si>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</si>
  <si>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</si>
  <si>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</si>
  <si>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</si>
  <si>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A622125.099</t>
  </si>
  <si>
    <t>EU-H-INDIGO DATA CLOUD</t>
  </si>
  <si>
    <t>A622125.100</t>
  </si>
  <si>
    <t>A622125.101</t>
  </si>
  <si>
    <t>EU-H-SESAME NET</t>
  </si>
  <si>
    <t>A622125.102</t>
  </si>
  <si>
    <t>TETRAMAX_HeartStep</t>
  </si>
  <si>
    <t>A622125.103</t>
  </si>
  <si>
    <t>EU-3D CPAM</t>
  </si>
  <si>
    <t>A622125.104</t>
  </si>
  <si>
    <t>EU-EMPIR 17RPT01 DOSETRACE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</si>
  <si>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</si>
  <si>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</si>
  <si>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</si>
  <si>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</si>
  <si>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</si>
  <si>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A622125.108</t>
  </si>
  <si>
    <t>THYMISTEM, Kontroliranje diferencijacije i proliferacije u ljudskim matičnim stanicama namijenjenim za terapijsku upotrebu.</t>
  </si>
  <si>
    <t>A622125.109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</si>
  <si>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</si>
  <si>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</si>
  <si>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</si>
  <si>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</si>
  <si>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</si>
  <si>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</si>
  <si>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</si>
  <si>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</si>
  <si>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</si>
  <si>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</si>
  <si>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</si>
  <si>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</si>
  <si>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</si>
  <si>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</si>
  <si>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</si>
  <si>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</si>
  <si>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</si>
  <si>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</si>
  <si>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</si>
  <si>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</si>
  <si>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</si>
  <si>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</si>
  <si>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Prilog 6. PLAN IZDATAKA ZA FINANCIJSKU IMOVINU I OTPLATE ZAJMOVA</t>
  </si>
  <si>
    <t>Izdaci za financijsku imovinu i otplate zajmova</t>
  </si>
  <si>
    <t>Osigurano u 2021.</t>
  </si>
  <si>
    <t>Prijedlog za 
2024.</t>
  </si>
  <si>
    <t>FINANCIJSKI PLAN RASHODA I IZDATAKA ZA 2022. GODINU I PROJEKCIJE ZA 2023. I 2024. GODINU</t>
  </si>
  <si>
    <t>IZVOR 581                Mehanizam za oporavak i otpornost</t>
  </si>
  <si>
    <t>PRIJEDLOG PLANA 
UKUPNO za 2022.</t>
  </si>
  <si>
    <t>PROJEKCIJA PLANA 
UKUPNO za 2023.</t>
  </si>
  <si>
    <t>PROJEKCIJA PLANA 
UKUPNO za 2024.</t>
  </si>
  <si>
    <t>unos P4</t>
  </si>
  <si>
    <t>2292SVEUČILIŠTE J. J. STROSSMAYERA U OSIJEKU - PRAVNI FAKULTET</t>
  </si>
  <si>
    <t>Ivančica Tubić</t>
  </si>
  <si>
    <t>031/ 224-532</t>
  </si>
  <si>
    <t>ivancica@pravos.hr</t>
  </si>
  <si>
    <t>Osijek, 20.12.2021.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</si>
</sst>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kn&quot;#,##0.00_);[Red]\(&quot;kn&quot;#,##0.00\)"/>
    <numFmt numFmtId="165" formatCode="_(* #,##0.00_);_(* \(#,##0.00\);_(* &quot;-&quot;??_);_(@_)"/>
    <numFmt numFmtId="166" formatCode="dd/mm/yy/;@"/>
    <numFmt numFmtId="167" formatCode="#,##0_ ;\-#,##0\ "/>
    <numFmt numFmtId="168" formatCode="#&quot;.&quot;"/>
    <numFmt numFmtId="169" formatCode="00000000"/>
    <numFmt numFmtId="170" formatCode="&quot;- &quot;@"/>
    <numFmt numFmtId="171" formatCode="&quot;+ &quot;@"/>
  </numFmts>
  <fonts count="8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7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</borders>
  <cellStyleXfs count="117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  <xf numFmtId="0" fontId="24" fillId="21" borderId="0"/>
    <xf numFmtId="4" fontId="72" fillId="6" borderId="54" applyNumberFormat="0" applyProtection="0">
      <alignment vertical="center"/>
    </xf>
    <xf numFmtId="4" fontId="73" fillId="6" borderId="54" applyNumberFormat="0" applyProtection="0">
      <alignment vertical="center"/>
    </xf>
    <xf numFmtId="4" fontId="72" fillId="6" borderId="54" applyNumberFormat="0" applyProtection="0">
      <alignment horizontal="left" vertical="center" indent="1"/>
    </xf>
    <xf numFmtId="4" fontId="72" fillId="6" borderId="54" applyNumberFormat="0" applyProtection="0">
      <alignment horizontal="left" vertical="center" indent="1"/>
    </xf>
    <xf numFmtId="0" fontId="28" fillId="2" borderId="54" applyNumberFormat="0" applyProtection="0">
      <alignment horizontal="left" vertical="center" indent="1"/>
    </xf>
    <xf numFmtId="4" fontId="72" fillId="57" borderId="54" applyNumberFormat="0" applyProtection="0">
      <alignment horizontal="right" vertical="center"/>
    </xf>
    <xf numFmtId="4" fontId="72" fillId="58" borderId="54" applyNumberFormat="0" applyProtection="0">
      <alignment horizontal="right" vertical="center"/>
    </xf>
    <xf numFmtId="4" fontId="72" fillId="59" borderId="54" applyNumberFormat="0" applyProtection="0">
      <alignment horizontal="right" vertical="center"/>
    </xf>
    <xf numFmtId="4" fontId="72" fillId="16" borderId="54" applyNumberFormat="0" applyProtection="0">
      <alignment horizontal="right" vertical="center"/>
    </xf>
    <xf numFmtId="4" fontId="72" fillId="60" borderId="54" applyNumberFormat="0" applyProtection="0">
      <alignment horizontal="right" vertical="center"/>
    </xf>
    <xf numFmtId="4" fontId="72" fillId="61" borderId="54" applyNumberFormat="0" applyProtection="0">
      <alignment horizontal="right" vertical="center"/>
    </xf>
    <xf numFmtId="4" fontId="72" fillId="62" borderId="54" applyNumberFormat="0" applyProtection="0">
      <alignment horizontal="right" vertical="center"/>
    </xf>
    <xf numFmtId="4" fontId="72" fillId="63" borderId="54" applyNumberFormat="0" applyProtection="0">
      <alignment horizontal="right" vertical="center"/>
    </xf>
    <xf numFmtId="4" fontId="72" fillId="64" borderId="54" applyNumberFormat="0" applyProtection="0">
      <alignment horizontal="right" vertical="center"/>
    </xf>
    <xf numFmtId="4" fontId="74" fillId="65" borderId="54" applyNumberFormat="0" applyProtection="0">
      <alignment horizontal="left" vertical="center" indent="1"/>
    </xf>
    <xf numFmtId="4" fontId="72" fillId="66" borderId="55" applyNumberFormat="0" applyProtection="0">
      <alignment horizontal="left" vertical="center" indent="1"/>
    </xf>
    <xf numFmtId="4" fontId="75" fillId="67" borderId="0" applyNumberFormat="0" applyProtection="0">
      <alignment horizontal="left" vertical="center" indent="1"/>
    </xf>
    <xf numFmtId="0" fontId="78" fillId="2" borderId="54" applyNumberFormat="0" applyProtection="0">
      <alignment horizontal="center" vertical="center"/>
    </xf>
    <xf numFmtId="4" fontId="17" fillId="66" borderId="54" applyNumberFormat="0" applyProtection="0">
      <alignment horizontal="left" vertical="center" indent="1"/>
    </xf>
    <xf numFmtId="4" fontId="17" fillId="68" borderId="54" applyNumberFormat="0" applyProtection="0">
      <alignment horizontal="left" vertical="center" indent="1"/>
    </xf>
    <xf numFmtId="0" fontId="22" fillId="68" borderId="54" applyNumberFormat="0" applyProtection="0">
      <alignment horizontal="left" vertical="center" wrapText="1" indent="1"/>
    </xf>
    <xf numFmtId="0" fontId="22" fillId="68" borderId="54" applyNumberFormat="0" applyProtection="0">
      <alignment horizontal="left" vertical="center" indent="1"/>
    </xf>
    <xf numFmtId="0" fontId="22" fillId="69" borderId="54" applyNumberFormat="0" applyProtection="0">
      <alignment horizontal="left" vertical="center" wrapText="1" indent="1"/>
    </xf>
    <xf numFmtId="0" fontId="22" fillId="69" borderId="54" applyNumberFormat="0" applyProtection="0">
      <alignment horizontal="left" vertical="center" indent="1"/>
    </xf>
    <xf numFmtId="0" fontId="22" fillId="70" borderId="54" applyNumberFormat="0" applyProtection="0">
      <alignment horizontal="left" vertical="center" wrapText="1" indent="1"/>
    </xf>
    <xf numFmtId="0" fontId="22" fillId="70" borderId="54" applyNumberFormat="0" applyProtection="0">
      <alignment horizontal="left" vertical="center" indent="1"/>
    </xf>
    <xf numFmtId="0" fontId="22" fillId="14" borderId="54" applyNumberFormat="0" applyProtection="0">
      <alignment horizontal="left" vertical="center" wrapText="1" indent="1"/>
    </xf>
    <xf numFmtId="0" fontId="22" fillId="14" borderId="54" applyNumberFormat="0" applyProtection="0">
      <alignment horizontal="left" vertical="center" indent="1"/>
    </xf>
    <xf numFmtId="0" fontId="22" fillId="0" borderId="0"/>
    <xf numFmtId="4" fontId="72" fillId="13" borderId="54" applyNumberFormat="0" applyProtection="0">
      <alignment vertical="center"/>
    </xf>
    <xf numFmtId="4" fontId="73" fillId="13" borderId="54" applyNumberFormat="0" applyProtection="0">
      <alignment vertical="center"/>
    </xf>
    <xf numFmtId="4" fontId="72" fillId="13" borderId="54" applyNumberFormat="0" applyProtection="0">
      <alignment horizontal="left" vertical="center" indent="1"/>
    </xf>
    <xf numFmtId="4" fontId="72" fillId="13" borderId="54" applyNumberFormat="0" applyProtection="0">
      <alignment horizontal="left" vertical="center" indent="1"/>
    </xf>
    <xf numFmtId="4" fontId="72" fillId="66" borderId="54" applyNumberFormat="0" applyProtection="0">
      <alignment horizontal="right" vertical="center"/>
    </xf>
    <xf numFmtId="4" fontId="73" fillId="66" borderId="54" applyNumberFormat="0" applyProtection="0">
      <alignment horizontal="right" vertical="center"/>
    </xf>
    <xf numFmtId="0" fontId="22" fillId="14" borderId="54" applyNumberFormat="0" applyProtection="0">
      <alignment horizontal="left" vertical="center" indent="1"/>
    </xf>
    <xf numFmtId="0" fontId="28" fillId="2" borderId="54" applyNumberFormat="0" applyProtection="0">
      <alignment horizontal="center" vertical="top" wrapText="1"/>
    </xf>
    <xf numFmtId="0" fontId="77" fillId="0" borderId="0" applyNumberFormat="0" applyProtection="0"/>
    <xf numFmtId="4" fontId="76" fillId="66" borderId="54" applyNumberFormat="0" applyProtection="0">
      <alignment horizontal="right" vertical="center"/>
    </xf>
  </cellStyleXfs>
  <cellXfs count="294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6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7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7" fillId="12" borderId="1" xfId="19" quotePrefix="1" applyNumberFormat="1" applyFont="1" applyFill="1" applyBorder="1" applyAlignment="1">
      <alignment horizontal="center" vertical="center" wrapText="1" justifyLastLine="1"/>
    </xf>
    <xf numFmtId="0" fontId="36" fillId="12" borderId="1" xfId="11" quotePrefix="1" applyNumberFormat="1" applyFont="1" applyFill="1" applyBorder="1" applyProtection="1">
      <alignment horizontal="left" vertical="center" indent="1" justifyLastLine="1"/>
    </xf>
    <xf numFmtId="0" fontId="60" fillId="17" borderId="1" xfId="4" applyFont="1" applyFill="1" applyBorder="1" applyAlignment="1" applyProtection="1">
      <alignment horizontal="center" vertical="center" wrapText="1"/>
    </xf>
    <xf numFmtId="170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70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0" fillId="55" borderId="0" xfId="0" applyFill="1"/>
    <xf numFmtId="0" fontId="63" fillId="55" borderId="0" xfId="0" applyFont="1" applyFill="1"/>
    <xf numFmtId="0" fontId="13" fillId="0" borderId="1" xfId="14" quotePrefix="1" applyFill="1" applyAlignment="1">
      <alignment horizontal="left" vertical="center" indent="1" justifyLastLine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9" fontId="55" fillId="0" borderId="51" xfId="0" applyNumberFormat="1" applyFont="1" applyFill="1" applyBorder="1" applyAlignment="1">
      <alignment horizontal="center" vertical="center"/>
    </xf>
    <xf numFmtId="168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9" fontId="55" fillId="0" borderId="51" xfId="74" applyNumberFormat="1" applyFont="1" applyFill="1" applyBorder="1" applyAlignment="1">
      <alignment horizontal="center" vertical="center"/>
    </xf>
    <xf numFmtId="169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9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66" fillId="0" borderId="0" xfId="4" applyFont="1" applyAlignment="1" applyProtection="1"/>
    <xf numFmtId="0" fontId="67" fillId="56" borderId="53" xfId="76" applyNumberFormat="1" applyFill="1" applyAlignment="1">
      <alignment horizontal="left"/>
    </xf>
    <xf numFmtId="0" fontId="67" fillId="56" borderId="53" xfId="76" applyNumberFormat="1" applyFill="1" applyAlignment="1">
      <alignment horizontal="center"/>
    </xf>
    <xf numFmtId="49" fontId="68" fillId="56" borderId="53" xfId="76" applyNumberFormat="1" applyFont="1" applyFill="1" applyAlignment="1">
      <alignment horizontal="left"/>
    </xf>
    <xf numFmtId="0" fontId="69" fillId="0" borderId="0" xfId="0" applyFont="1"/>
    <xf numFmtId="0" fontId="69" fillId="0" borderId="0" xfId="0" applyFont="1" applyAlignment="1">
      <alignment horizontal="center"/>
    </xf>
    <xf numFmtId="0" fontId="6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0" fontId="63" fillId="0" borderId="0" xfId="0" applyFont="1" applyFill="1"/>
    <xf numFmtId="0" fontId="70" fillId="12" borderId="5" xfId="2" applyNumberFormat="1" applyFont="1" applyFill="1" applyBorder="1" applyAlignment="1" applyProtection="1">
      <alignment horizontal="center" vertical="center" wrapText="1"/>
    </xf>
    <xf numFmtId="0" fontId="70" fillId="12" borderId="5" xfId="2" applyFont="1" applyFill="1" applyBorder="1" applyAlignment="1" applyProtection="1">
      <alignment horizontal="center" vertical="center" wrapText="1"/>
    </xf>
    <xf numFmtId="0" fontId="71" fillId="55" borderId="0" xfId="0" applyFont="1" applyFill="1"/>
    <xf numFmtId="0" fontId="22" fillId="71" borderId="54" xfId="100" quotePrefix="1" applyFill="1">
      <alignment horizontal="left" vertical="center" wrapText="1" indent="1"/>
    </xf>
    <xf numFmtId="0" fontId="22" fillId="71" borderId="54" xfId="100" quotePrefix="1" applyFill="1" applyAlignment="1">
      <alignment horizontal="left" vertical="center" wrapText="1" indent="3"/>
    </xf>
    <xf numFmtId="0" fontId="22" fillId="0" borderId="54" xfId="102" quotePrefix="1" applyFill="1">
      <alignment horizontal="left" vertical="center" wrapText="1" indent="1"/>
    </xf>
    <xf numFmtId="0" fontId="22" fillId="0" borderId="54" xfId="102" quotePrefix="1" applyFill="1" applyAlignment="1">
      <alignment horizontal="left" vertical="center" wrapText="1" indent="4"/>
    </xf>
    <xf numFmtId="170" fontId="13" fillId="3" borderId="1" xfId="13" quotePrefix="1" applyNumberFormat="1" applyAlignment="1">
      <alignment horizontal="left" vertical="center" indent="2" justifyLastLine="1"/>
    </xf>
    <xf numFmtId="170" fontId="13" fillId="8" borderId="1" xfId="14" quotePrefix="1" applyNumberFormat="1" applyAlignment="1">
      <alignment horizontal="left" vertical="center" indent="3" justifyLastLine="1"/>
    </xf>
    <xf numFmtId="170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1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80" fillId="0" borderId="54" xfId="102" quotePrefix="1" applyFont="1" applyFill="1" applyAlignment="1">
      <alignment horizontal="left" vertical="center" wrapText="1" indent="4"/>
    </xf>
    <xf numFmtId="0" fontId="80" fillId="0" borderId="54" xfId="102" quotePrefix="1" applyFont="1" applyFill="1">
      <alignment horizontal="left" vertical="center" wrapText="1" indent="1"/>
    </xf>
    <xf numFmtId="0" fontId="79" fillId="0" borderId="0" xfId="0" applyFont="1" applyFill="1"/>
    <xf numFmtId="167" fontId="11" fillId="0" borderId="6" xfId="2" applyNumberFormat="1" applyFont="1" applyFill="1" applyBorder="1" applyAlignment="1" applyProtection="1">
      <alignment vertical="center"/>
      <protection locked="0"/>
    </xf>
    <xf numFmtId="0" fontId="22" fillId="55" borderId="54" xfId="102" quotePrefix="1" applyFill="1" applyAlignment="1">
      <alignment horizontal="left" vertical="center" wrapText="1" indent="4"/>
    </xf>
    <xf numFmtId="0" fontId="22" fillId="55" borderId="54" xfId="102" quotePrefix="1" applyFill="1">
      <alignment horizontal="left" vertical="center" wrapText="1" indent="1"/>
    </xf>
    <xf numFmtId="0" fontId="80" fillId="55" borderId="54" xfId="102" quotePrefix="1" applyFont="1" applyFill="1" applyAlignment="1">
      <alignment horizontal="left" vertical="center" wrapText="1" indent="4"/>
    </xf>
    <xf numFmtId="0" fontId="80" fillId="55" borderId="54" xfId="102" quotePrefix="1" applyFont="1" applyFill="1">
      <alignment horizontal="left" vertical="center" wrapText="1" indent="1"/>
    </xf>
    <xf numFmtId="0" fontId="79" fillId="55" borderId="0" xfId="0" applyFont="1" applyFill="1"/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0" xfId="0" applyFont="1" applyBorder="1" applyProtection="1"/>
    <xf numFmtId="0" fontId="58" fillId="0" borderId="0" xfId="2" applyNumberFormat="1" applyFont="1" applyFill="1" applyBorder="1" applyAlignment="1" applyProtection="1">
      <alignment horizontal="center" vertical="center" wrapText="1"/>
    </xf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0" fontId="6" fillId="0" borderId="56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117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aslov 1" xfId="76"/>
    <cellStyle name="Normal" xfId="0" builtinId="0"/>
    <cellStyle name="Normal 2" xfId="2"/>
    <cellStyle name="Normal 3" xfId="20"/>
    <cellStyle name="Normal 3 3" xfId="3"/>
    <cellStyle name="Normal 4" xfId="77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8"/>
    <cellStyle name="SAPBEXaggDataEmph" xfId="42"/>
    <cellStyle name="SAPBEXaggDataEmph 2" xfId="79"/>
    <cellStyle name="SAPBEXaggItem" xfId="10"/>
    <cellStyle name="SAPBEXaggItem 2" xfId="80"/>
    <cellStyle name="SAPBEXaggItemX" xfId="43"/>
    <cellStyle name="SAPBEXaggItemX 2" xfId="81"/>
    <cellStyle name="SAPBEXchaText" xfId="11"/>
    <cellStyle name="SAPBEXchaText 2" xfId="82"/>
    <cellStyle name="SAPBEXexcBad7" xfId="44"/>
    <cellStyle name="SAPBEXexcBad7 2" xfId="83"/>
    <cellStyle name="SAPBEXexcBad8" xfId="45"/>
    <cellStyle name="SAPBEXexcBad8 2" xfId="84"/>
    <cellStyle name="SAPBEXexcBad9" xfId="46"/>
    <cellStyle name="SAPBEXexcBad9 2" xfId="85"/>
    <cellStyle name="SAPBEXexcCritical4" xfId="47"/>
    <cellStyle name="SAPBEXexcCritical4 2" xfId="86"/>
    <cellStyle name="SAPBEXexcCritical5" xfId="48"/>
    <cellStyle name="SAPBEXexcCritical5 2" xfId="87"/>
    <cellStyle name="SAPBEXexcCritical6" xfId="49"/>
    <cellStyle name="SAPBEXexcCritical6 2" xfId="88"/>
    <cellStyle name="SAPBEXexcGood1" xfId="50"/>
    <cellStyle name="SAPBEXexcGood1 2" xfId="89"/>
    <cellStyle name="SAPBEXexcGood2" xfId="51"/>
    <cellStyle name="SAPBEXexcGood2 2" xfId="90"/>
    <cellStyle name="SAPBEXexcGood3" xfId="52"/>
    <cellStyle name="SAPBEXexcGood3 2" xfId="91"/>
    <cellStyle name="SAPBEXfilterDrill" xfId="53"/>
    <cellStyle name="SAPBEXfilterDrill 2" xfId="92"/>
    <cellStyle name="SAPBEXfilterItem" xfId="54"/>
    <cellStyle name="SAPBEXfilterItem 2" xfId="93"/>
    <cellStyle name="SAPBEXfilterText" xfId="55"/>
    <cellStyle name="SAPBEXfilterText 2" xfId="94"/>
    <cellStyle name="SAPBEXformats" xfId="12"/>
    <cellStyle name="SAPBEXformats 2" xfId="95"/>
    <cellStyle name="SAPBEXheaderItem" xfId="56"/>
    <cellStyle name="SAPBEXheaderItem 2" xfId="96"/>
    <cellStyle name="SAPBEXheaderText" xfId="57"/>
    <cellStyle name="SAPBEXheaderText 2" xfId="97"/>
    <cellStyle name="SAPBEXHLevel0" xfId="13"/>
    <cellStyle name="SAPBEXHLevel0 2" xfId="75"/>
    <cellStyle name="SAPBEXHLevel0 3" xfId="98"/>
    <cellStyle name="SAPBEXHLevel0X" xfId="58"/>
    <cellStyle name="SAPBEXHLevel0X 2" xfId="99"/>
    <cellStyle name="SAPBEXHLevel1" xfId="14"/>
    <cellStyle name="SAPBEXHLevel1 2" xfId="100"/>
    <cellStyle name="SAPBEXHLevel1X" xfId="59"/>
    <cellStyle name="SAPBEXHLevel1X 2" xfId="101"/>
    <cellStyle name="SAPBEXHLevel2" xfId="15"/>
    <cellStyle name="SAPBEXHLevel2 2" xfId="102"/>
    <cellStyle name="SAPBEXHLevel2X" xfId="60"/>
    <cellStyle name="SAPBEXHLevel2X 2" xfId="103"/>
    <cellStyle name="SAPBEXHLevel3" xfId="16"/>
    <cellStyle name="SAPBEXHLevel3 2" xfId="104"/>
    <cellStyle name="SAPBEXHLevel3X" xfId="61"/>
    <cellStyle name="SAPBEXHLevel3X 2" xfId="105"/>
    <cellStyle name="SAPBEXinputData" xfId="62"/>
    <cellStyle name="SAPBEXinputData 2" xfId="106"/>
    <cellStyle name="SAPBEXItemHeader" xfId="17"/>
    <cellStyle name="SAPBEXresData" xfId="63"/>
    <cellStyle name="SAPBEXresData 2" xfId="107"/>
    <cellStyle name="SAPBEXresDataEmph" xfId="64"/>
    <cellStyle name="SAPBEXresDataEmph 2" xfId="108"/>
    <cellStyle name="SAPBEXresItem" xfId="65"/>
    <cellStyle name="SAPBEXresItem 2" xfId="109"/>
    <cellStyle name="SAPBEXresItemX" xfId="66"/>
    <cellStyle name="SAPBEXresItemX 2" xfId="110"/>
    <cellStyle name="SAPBEXstdData" xfId="18"/>
    <cellStyle name="SAPBEXstdData 2" xfId="111"/>
    <cellStyle name="SAPBEXstdDataEmph" xfId="67"/>
    <cellStyle name="SAPBEXstdDataEmph 2" xfId="112"/>
    <cellStyle name="SAPBEXstdItem" xfId="19"/>
    <cellStyle name="SAPBEXstdItem 2" xfId="113"/>
    <cellStyle name="SAPBEXstdItemX" xfId="68"/>
    <cellStyle name="SAPBEXstdItemX 2" xfId="114"/>
    <cellStyle name="SAPBEXtitle" xfId="69"/>
    <cellStyle name="SAPBEXtitle 2" xfId="115"/>
    <cellStyle name="SAPBEXunassignedItem" xfId="70"/>
    <cellStyle name="SAPBEXundefined" xfId="71"/>
    <cellStyle name="SAPBEXundefined 2" xfId="116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42</xdr:row>
      <xdr:rowOff>19050</xdr:rowOff>
    </xdr:from>
    <xdr:to>
      <xdr:col>1</xdr:col>
      <xdr:colOff>1085850</xdr:colOff>
      <xdr:row>44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28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29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1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38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82</xdr:row>
      <xdr:rowOff>19050</xdr:rowOff>
    </xdr:from>
    <xdr:to>
      <xdr:col>2</xdr:col>
      <xdr:colOff>0</xdr:colOff>
      <xdr:row>84</xdr:row>
      <xdr:rowOff>0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82</xdr:row>
      <xdr:rowOff>19050</xdr:rowOff>
    </xdr:from>
    <xdr:to>
      <xdr:col>1</xdr:col>
      <xdr:colOff>1085850</xdr:colOff>
      <xdr:row>84</xdr:row>
      <xdr:rowOff>0</xdr:rowOff>
    </xdr:to>
    <xdr:sp macro="" textlink="">
      <xdr:nvSpPr>
        <xdr:cNvPr id="40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996"/>
  <sheetViews>
    <sheetView showGridLines="0" workbookViewId="0">
      <selection activeCell="C6" sqref="C6:E6"/>
    </sheetView>
  </sheetViews>
  <sheetFormatPr defaultColWidth="0" defaultRowHeight="12.75" zeroHeight="1"/>
  <cols>
    <col min="1" max="1" width="7.5703125" style="150" customWidth="1"/>
    <col min="2" max="2" width="36.140625" style="150" bestFit="1" customWidth="1"/>
    <col min="3" max="3" width="21.42578125" style="150" customWidth="1"/>
    <col min="4" max="4" width="21.140625" style="150" customWidth="1"/>
    <col min="5" max="5" width="21.7109375" style="150" customWidth="1"/>
    <col min="6" max="6" width="11.42578125" style="150" customWidth="1"/>
    <col min="7" max="11" width="11.42578125" style="150" hidden="1" customWidth="1"/>
    <col min="12" max="12" width="16.42578125" style="150" hidden="1" customWidth="1"/>
    <col min="13" max="13" width="7.85546875" style="150" hidden="1" customWidth="1"/>
    <col min="14" max="14" width="41.28515625" style="150" hidden="1" customWidth="1"/>
    <col min="15" max="15" width="19.5703125" style="150" hidden="1" customWidth="1"/>
    <col min="16" max="28" width="11.42578125" style="150" hidden="1" customWidth="1"/>
    <col min="29" max="16384" width="14.42578125" style="150" hidden="1"/>
  </cols>
  <sheetData>
    <row r="1" spans="1:28">
      <c r="A1" s="227"/>
    </row>
    <row r="2" spans="1:28"/>
    <row r="3" spans="1:28" ht="36.75" customHeight="1" thickBot="1">
      <c r="A3" s="151"/>
      <c r="B3" s="190" t="s">
        <v>351</v>
      </c>
      <c r="C3" s="265" t="s">
        <v>3498</v>
      </c>
      <c r="D3" s="266"/>
      <c r="E3" s="267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28" ht="15.75" thickBot="1">
      <c r="A4" s="151"/>
      <c r="B4" s="191" t="s">
        <v>0</v>
      </c>
      <c r="C4" s="268" t="s">
        <v>3502</v>
      </c>
      <c r="D4" s="269"/>
      <c r="E4" s="270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</row>
    <row r="5" spans="1:28" ht="15.75" thickBot="1">
      <c r="A5" s="152"/>
      <c r="B5" s="191" t="s">
        <v>1</v>
      </c>
      <c r="C5" s="268" t="s">
        <v>3499</v>
      </c>
      <c r="D5" s="269"/>
      <c r="E5" s="270"/>
      <c r="F5" s="151"/>
      <c r="G5" s="151"/>
      <c r="H5" s="151"/>
      <c r="I5" s="151"/>
      <c r="J5" s="151"/>
      <c r="K5" s="153" t="s">
        <v>361</v>
      </c>
      <c r="L5" s="153" t="s">
        <v>729</v>
      </c>
      <c r="M5" s="153" t="s">
        <v>362</v>
      </c>
      <c r="N5" s="153" t="s">
        <v>363</v>
      </c>
      <c r="O5" s="153" t="s">
        <v>364</v>
      </c>
      <c r="P5" s="153" t="s">
        <v>365</v>
      </c>
      <c r="Q5" s="153" t="s">
        <v>366</v>
      </c>
      <c r="R5" s="153" t="s">
        <v>367</v>
      </c>
      <c r="S5" s="153" t="s">
        <v>368</v>
      </c>
      <c r="T5" s="153" t="s">
        <v>727</v>
      </c>
      <c r="U5" s="154" t="s">
        <v>221</v>
      </c>
      <c r="V5" s="151"/>
      <c r="W5" s="151"/>
      <c r="X5" s="151"/>
      <c r="Y5" s="151"/>
      <c r="Z5" s="151"/>
      <c r="AA5" s="151"/>
      <c r="AB5" s="151"/>
    </row>
    <row r="6" spans="1:28" ht="15.75" thickBot="1">
      <c r="A6" s="155"/>
      <c r="B6" s="191" t="s">
        <v>2</v>
      </c>
      <c r="C6" s="268" t="s">
        <v>3500</v>
      </c>
      <c r="D6" s="269"/>
      <c r="E6" s="270"/>
      <c r="F6" s="151"/>
      <c r="G6" s="151"/>
      <c r="H6" s="151"/>
      <c r="I6" s="151"/>
      <c r="J6" s="151"/>
      <c r="K6" s="150">
        <v>0</v>
      </c>
      <c r="L6" s="150" t="s">
        <v>730</v>
      </c>
      <c r="T6" s="150" t="s">
        <v>756</v>
      </c>
      <c r="U6" s="150" t="s">
        <v>756</v>
      </c>
      <c r="V6" s="151"/>
      <c r="W6" s="151"/>
      <c r="X6" s="151"/>
      <c r="Y6" s="151"/>
      <c r="Z6" s="151"/>
      <c r="AA6" s="151"/>
      <c r="AB6" s="151"/>
    </row>
    <row r="7" spans="1:28" ht="15.75" thickBot="1">
      <c r="A7" s="155"/>
      <c r="B7" s="191" t="s">
        <v>350</v>
      </c>
      <c r="C7" s="268" t="s">
        <v>3501</v>
      </c>
      <c r="D7" s="269"/>
      <c r="E7" s="270"/>
      <c r="F7" s="151"/>
      <c r="G7" s="151"/>
      <c r="H7" s="151"/>
      <c r="I7" s="151"/>
      <c r="J7" s="151"/>
      <c r="K7" s="218">
        <f t="shared" ref="K7:K70" si="0">+K6+1</f>
        <v>1</v>
      </c>
      <c r="L7" s="216" t="str">
        <f>M7&amp;""&amp;N7</f>
        <v xml:space="preserve">1222MINISTARSTVO ZNANOSTI I OBRAZOVANJA </v>
      </c>
      <c r="M7" s="216">
        <v>1222</v>
      </c>
      <c r="N7" s="219" t="s">
        <v>1955</v>
      </c>
      <c r="O7" s="220"/>
      <c r="P7" s="225" t="s">
        <v>369</v>
      </c>
      <c r="Q7" s="219" t="s">
        <v>370</v>
      </c>
      <c r="R7" s="217">
        <v>3271030</v>
      </c>
      <c r="S7" s="213" t="s">
        <v>1956</v>
      </c>
      <c r="T7" s="214" t="s">
        <v>1352</v>
      </c>
      <c r="U7" s="215" t="s">
        <v>1065</v>
      </c>
      <c r="V7" s="151"/>
      <c r="W7" s="151"/>
      <c r="X7" s="151"/>
      <c r="Y7" s="151"/>
      <c r="Z7" s="151"/>
      <c r="AA7" s="151"/>
      <c r="AB7" s="151"/>
    </row>
    <row r="8" spans="1:28" ht="15">
      <c r="A8" s="155"/>
      <c r="B8" s="155"/>
      <c r="C8" s="151"/>
      <c r="D8" s="151"/>
      <c r="E8" s="151"/>
      <c r="F8" s="151"/>
      <c r="G8" s="151"/>
      <c r="H8" s="151"/>
      <c r="I8" s="151"/>
      <c r="J8" s="151"/>
      <c r="K8" s="218">
        <f t="shared" si="0"/>
        <v>2</v>
      </c>
      <c r="L8" s="216" t="str">
        <f t="shared" ref="L8:L71" si="1">M8&amp;""&amp;N8</f>
        <v>2063FAKULTET ORGANIZACIJE I INFORMATIKE U VARAŽDINU</v>
      </c>
      <c r="M8" s="216">
        <v>2063</v>
      </c>
      <c r="N8" s="219" t="s">
        <v>583</v>
      </c>
      <c r="O8" s="220" t="s">
        <v>492</v>
      </c>
      <c r="P8" s="219" t="s">
        <v>584</v>
      </c>
      <c r="Q8" s="219" t="s">
        <v>540</v>
      </c>
      <c r="R8" s="217">
        <v>3006107</v>
      </c>
      <c r="S8" s="213" t="s">
        <v>585</v>
      </c>
      <c r="T8" s="214" t="s">
        <v>49</v>
      </c>
      <c r="U8" s="215" t="s">
        <v>48</v>
      </c>
      <c r="V8" s="151"/>
      <c r="W8" s="151"/>
      <c r="X8" s="151"/>
      <c r="Y8" s="151"/>
      <c r="Z8" s="151"/>
      <c r="AA8" s="151"/>
      <c r="AB8" s="151"/>
    </row>
    <row r="9" spans="1:28" ht="28.5" customHeight="1">
      <c r="B9" s="273" t="s">
        <v>1983</v>
      </c>
      <c r="C9" s="272"/>
      <c r="D9" s="272"/>
      <c r="E9" s="272"/>
      <c r="F9" s="151"/>
      <c r="G9" s="151"/>
      <c r="H9" s="151"/>
      <c r="I9" s="151"/>
      <c r="J9" s="151"/>
      <c r="K9" s="218">
        <f t="shared" si="0"/>
        <v>3</v>
      </c>
      <c r="L9" s="216" t="str">
        <f t="shared" si="1"/>
        <v>43749MEĐIMURSKO VELEUČILIŠTE U ČAKOVCU</v>
      </c>
      <c r="M9" s="216">
        <v>43749</v>
      </c>
      <c r="N9" s="219" t="s">
        <v>586</v>
      </c>
      <c r="O9" s="220" t="s">
        <v>587</v>
      </c>
      <c r="P9" s="219" t="s">
        <v>588</v>
      </c>
      <c r="Q9" s="219" t="s">
        <v>589</v>
      </c>
      <c r="R9" s="217">
        <v>2382512</v>
      </c>
      <c r="S9" s="213" t="s">
        <v>590</v>
      </c>
      <c r="T9" s="214" t="s">
        <v>49</v>
      </c>
      <c r="U9" s="215" t="s">
        <v>48</v>
      </c>
      <c r="V9" s="151"/>
      <c r="W9" s="151"/>
      <c r="X9" s="151"/>
      <c r="Y9" s="151"/>
      <c r="Z9" s="151"/>
      <c r="AA9" s="151"/>
      <c r="AB9" s="151"/>
    </row>
    <row r="10" spans="1:28" ht="18.75" customHeight="1">
      <c r="B10" s="273" t="s">
        <v>3</v>
      </c>
      <c r="C10" s="272"/>
      <c r="D10" s="272"/>
      <c r="E10" s="272"/>
      <c r="F10" s="151"/>
      <c r="G10" s="151"/>
      <c r="H10" s="151"/>
      <c r="I10" s="151"/>
      <c r="J10" s="151"/>
      <c r="K10" s="218">
        <f t="shared" si="0"/>
        <v>4</v>
      </c>
      <c r="L10" s="216" t="str">
        <f t="shared" si="1"/>
        <v>2452SVEUČILIŠTE J. J. STROSSMAYERA U OSIJEKU</v>
      </c>
      <c r="M10" s="216">
        <v>2452</v>
      </c>
      <c r="N10" s="219" t="s">
        <v>1957</v>
      </c>
      <c r="O10" s="226" t="s">
        <v>371</v>
      </c>
      <c r="P10" s="219" t="s">
        <v>372</v>
      </c>
      <c r="Q10" s="219" t="s">
        <v>373</v>
      </c>
      <c r="R10" s="217">
        <v>3049779</v>
      </c>
      <c r="S10" s="213" t="s">
        <v>374</v>
      </c>
      <c r="T10" s="214" t="s">
        <v>49</v>
      </c>
      <c r="U10" s="215" t="s">
        <v>48</v>
      </c>
      <c r="V10" s="151"/>
      <c r="W10" s="151"/>
      <c r="X10" s="151"/>
      <c r="Y10" s="151"/>
      <c r="Z10" s="151"/>
      <c r="AA10" s="151"/>
      <c r="AB10" s="151"/>
    </row>
    <row r="11" spans="1:28" ht="12" customHeight="1">
      <c r="B11" s="271"/>
      <c r="C11" s="272"/>
      <c r="D11" s="272"/>
      <c r="E11" s="272"/>
      <c r="F11" s="151"/>
      <c r="G11" s="151"/>
      <c r="H11" s="151"/>
      <c r="I11" s="151"/>
      <c r="J11" s="151"/>
      <c r="K11" s="218">
        <f t="shared" si="0"/>
        <v>5</v>
      </c>
      <c r="L11" s="216" t="str">
        <f t="shared" si="1"/>
        <v>50215SVEUČILIŠTE J. J. STROSSMAYERA U OSIJEKU - AKADEMIJA ZA UMJETNOST I KULTURU U OSIJEKU</v>
      </c>
      <c r="M11" s="216">
        <v>50215</v>
      </c>
      <c r="N11" s="219" t="s">
        <v>1958</v>
      </c>
      <c r="O11" s="226" t="s">
        <v>371</v>
      </c>
      <c r="P11" s="219" t="s">
        <v>398</v>
      </c>
      <c r="Q11" s="219" t="s">
        <v>373</v>
      </c>
      <c r="R11" s="217">
        <v>4907361</v>
      </c>
      <c r="S11" s="213" t="s">
        <v>1917</v>
      </c>
      <c r="T11" s="214" t="s">
        <v>49</v>
      </c>
      <c r="U11" s="215" t="s">
        <v>48</v>
      </c>
      <c r="V11" s="151"/>
      <c r="W11" s="151"/>
      <c r="X11" s="151"/>
      <c r="Y11" s="151"/>
      <c r="Z11" s="151"/>
      <c r="AA11" s="151"/>
      <c r="AB11" s="151"/>
    </row>
    <row r="12" spans="1:28" ht="12" customHeight="1">
      <c r="A12" s="157"/>
      <c r="B12" s="157"/>
      <c r="C12" s="151"/>
      <c r="D12" s="151"/>
      <c r="E12" s="151"/>
      <c r="F12" s="151"/>
      <c r="G12" s="151"/>
      <c r="H12" s="151"/>
      <c r="I12" s="151"/>
      <c r="J12" s="151"/>
      <c r="K12" s="218">
        <f t="shared" si="0"/>
        <v>6</v>
      </c>
      <c r="L12" s="216" t="str">
        <f t="shared" si="1"/>
        <v>2284SVEUČILIŠTE J. J. STROSSMAYERA U OSIJEKU - EKONOMSKI FAKULTET</v>
      </c>
      <c r="M12" s="216">
        <v>2284</v>
      </c>
      <c r="N12" s="219" t="s">
        <v>1959</v>
      </c>
      <c r="O12" s="226" t="s">
        <v>371</v>
      </c>
      <c r="P12" s="219" t="s">
        <v>375</v>
      </c>
      <c r="Q12" s="219" t="s">
        <v>373</v>
      </c>
      <c r="R12" s="217">
        <v>3021645</v>
      </c>
      <c r="S12" s="213" t="s">
        <v>376</v>
      </c>
      <c r="T12" s="214" t="s">
        <v>49</v>
      </c>
      <c r="U12" s="215" t="s">
        <v>48</v>
      </c>
      <c r="V12" s="151"/>
      <c r="W12" s="151"/>
      <c r="X12" s="151"/>
      <c r="Y12" s="151"/>
      <c r="Z12" s="151"/>
      <c r="AA12" s="151"/>
      <c r="AB12" s="151"/>
    </row>
    <row r="13" spans="1:28" ht="33" customHeight="1">
      <c r="A13" s="158"/>
      <c r="B13" s="158"/>
      <c r="C13" s="158" t="s">
        <v>1984</v>
      </c>
      <c r="D13" s="158" t="s">
        <v>1985</v>
      </c>
      <c r="E13" s="158" t="s">
        <v>1986</v>
      </c>
      <c r="F13" s="159"/>
      <c r="G13" s="151"/>
      <c r="H13" s="151"/>
      <c r="I13" s="151"/>
      <c r="J13" s="151"/>
      <c r="K13" s="218">
        <f t="shared" si="0"/>
        <v>7</v>
      </c>
      <c r="L13" s="216" t="str">
        <f t="shared" si="1"/>
        <v>2268SVEUČILIŠTE J. J. STROSSMAYERA U OSIJEKU - FAKULTET AGROBIOTEHNIČKIH ZNANOSTI OSIJEK</v>
      </c>
      <c r="M13" s="216">
        <v>2268</v>
      </c>
      <c r="N13" s="219" t="s">
        <v>1960</v>
      </c>
      <c r="O13" s="226" t="s">
        <v>371</v>
      </c>
      <c r="P13" s="219" t="s">
        <v>386</v>
      </c>
      <c r="Q13" s="219" t="s">
        <v>373</v>
      </c>
      <c r="R13" s="217">
        <v>3058212</v>
      </c>
      <c r="S13" s="213" t="s">
        <v>387</v>
      </c>
      <c r="T13" s="214" t="s">
        <v>49</v>
      </c>
      <c r="U13" s="215" t="s">
        <v>48</v>
      </c>
      <c r="V13" s="151"/>
      <c r="W13" s="151"/>
      <c r="X13" s="151"/>
      <c r="Y13" s="151"/>
      <c r="Z13" s="151"/>
      <c r="AA13" s="151"/>
      <c r="AB13" s="151"/>
    </row>
    <row r="14" spans="1:28" ht="19.5" customHeight="1">
      <c r="A14" s="160"/>
      <c r="B14" s="160" t="s">
        <v>4</v>
      </c>
      <c r="C14" s="161">
        <f>SUM(C15:C16)</f>
        <v>32760623</v>
      </c>
      <c r="D14" s="161">
        <f>+D15+D16</f>
        <v>35191635</v>
      </c>
      <c r="E14" s="161">
        <f>+E15+E16</f>
        <v>35409600</v>
      </c>
      <c r="F14" s="162"/>
      <c r="G14" s="151"/>
      <c r="H14" s="151"/>
      <c r="I14" s="151"/>
      <c r="J14" s="151"/>
      <c r="K14" s="218">
        <f t="shared" si="0"/>
        <v>8</v>
      </c>
      <c r="L14" s="216" t="str">
        <f t="shared" si="1"/>
        <v>2313SVEUČILIŠTE J. J. STROSSMAYERA U OSIJEKU - FAKULTET ELEKTROTEHNIKE, RAČUNARSTVA I INFORMACIJSKIH TEHNOLOGIJA OSIJEK</v>
      </c>
      <c r="M14" s="216">
        <v>2313</v>
      </c>
      <c r="N14" s="219" t="s">
        <v>1961</v>
      </c>
      <c r="O14" s="226" t="s">
        <v>371</v>
      </c>
      <c r="P14" s="219" t="s">
        <v>377</v>
      </c>
      <c r="Q14" s="219" t="s">
        <v>373</v>
      </c>
      <c r="R14" s="217">
        <v>3392589</v>
      </c>
      <c r="S14" s="213" t="s">
        <v>378</v>
      </c>
      <c r="T14" s="214" t="s">
        <v>49</v>
      </c>
      <c r="U14" s="215" t="s">
        <v>48</v>
      </c>
      <c r="V14" s="151"/>
      <c r="W14" s="151"/>
      <c r="X14" s="151"/>
      <c r="Y14" s="151"/>
      <c r="Z14" s="151"/>
      <c r="AA14" s="151"/>
      <c r="AB14" s="151"/>
    </row>
    <row r="15" spans="1:28" ht="19.5" customHeight="1">
      <c r="A15" s="163">
        <v>6</v>
      </c>
      <c r="B15" s="160" t="s">
        <v>5</v>
      </c>
      <c r="C15" s="164">
        <f>'PLAN PRIHODA I PRIMITAKA '!D27</f>
        <v>32758623</v>
      </c>
      <c r="D15" s="164">
        <f>'PLAN PRIHODA I PRIMITAKA '!D67</f>
        <v>35189635</v>
      </c>
      <c r="E15" s="164">
        <f>'PLAN PRIHODA I PRIMITAKA '!D107</f>
        <v>35407600</v>
      </c>
      <c r="F15" s="151"/>
      <c r="G15" s="151"/>
      <c r="H15" s="151"/>
      <c r="I15" s="151"/>
      <c r="J15" s="151"/>
      <c r="K15" s="218">
        <f t="shared" si="0"/>
        <v>9</v>
      </c>
      <c r="L15" s="216" t="str">
        <f t="shared" si="1"/>
        <v>49796SVEUČILIŠTE J. J. STROSSMAYERA U OSIJEKU - FAKULTET ZA DENTALNU MEDICINU I ZDRAVSTVO</v>
      </c>
      <c r="M15" s="216">
        <v>49796</v>
      </c>
      <c r="N15" s="219" t="s">
        <v>1962</v>
      </c>
      <c r="O15" s="226" t="s">
        <v>371</v>
      </c>
      <c r="P15" s="219" t="s">
        <v>396</v>
      </c>
      <c r="Q15" s="219" t="s">
        <v>373</v>
      </c>
      <c r="R15" s="217">
        <v>4748875</v>
      </c>
      <c r="S15" s="213" t="s">
        <v>397</v>
      </c>
      <c r="T15" s="214" t="s">
        <v>49</v>
      </c>
      <c r="U15" s="215" t="s">
        <v>48</v>
      </c>
      <c r="V15" s="151"/>
      <c r="W15" s="151"/>
      <c r="X15" s="151"/>
      <c r="Y15" s="151"/>
      <c r="Z15" s="151"/>
      <c r="AA15" s="151"/>
      <c r="AB15" s="151"/>
    </row>
    <row r="16" spans="1:28" ht="19.5" customHeight="1">
      <c r="A16" s="163">
        <v>7</v>
      </c>
      <c r="B16" s="165" t="s">
        <v>6</v>
      </c>
      <c r="C16" s="164">
        <f>'PLAN PRIHODA I PRIMITAKA '!D34</f>
        <v>2000</v>
      </c>
      <c r="D16" s="164">
        <f>'PLAN PRIHODA I PRIMITAKA '!D74</f>
        <v>2000</v>
      </c>
      <c r="E16" s="164">
        <f>'PLAN PRIHODA I PRIMITAKA '!D114</f>
        <v>2000</v>
      </c>
      <c r="F16" s="151"/>
      <c r="G16" s="166"/>
      <c r="H16" s="151"/>
      <c r="I16" s="151"/>
      <c r="J16" s="151"/>
      <c r="K16" s="218">
        <f t="shared" si="0"/>
        <v>10</v>
      </c>
      <c r="L16" s="216" t="str">
        <f t="shared" si="1"/>
        <v>22486SVEUČILIŠTE J. J. STROSSMAYERA U OSIJEKU - FAKULTET ZA ODGOJNE I OBRAZOVNE ZNANOSTI</v>
      </c>
      <c r="M16" s="216">
        <v>22486</v>
      </c>
      <c r="N16" s="219" t="s">
        <v>1963</v>
      </c>
      <c r="O16" s="226" t="s">
        <v>371</v>
      </c>
      <c r="P16" s="219" t="s">
        <v>391</v>
      </c>
      <c r="Q16" s="219" t="s">
        <v>373</v>
      </c>
      <c r="R16" s="217">
        <v>1404881</v>
      </c>
      <c r="S16" s="213" t="s">
        <v>392</v>
      </c>
      <c r="T16" s="214" t="s">
        <v>49</v>
      </c>
      <c r="U16" s="215" t="s">
        <v>48</v>
      </c>
      <c r="V16" s="151"/>
      <c r="W16" s="151"/>
      <c r="X16" s="151"/>
      <c r="Y16" s="151"/>
      <c r="Z16" s="151"/>
      <c r="AA16" s="151"/>
      <c r="AB16" s="151"/>
    </row>
    <row r="17" spans="1:28" ht="19.5" customHeight="1">
      <c r="A17" s="167"/>
      <c r="B17" s="165" t="s">
        <v>7</v>
      </c>
      <c r="C17" s="168">
        <f>SUM(C18:C19)</f>
        <v>32169503</v>
      </c>
      <c r="D17" s="168">
        <f>+D18+D19</f>
        <v>35482629</v>
      </c>
      <c r="E17" s="168">
        <f>+E18+E19</f>
        <v>35297241</v>
      </c>
      <c r="F17" s="151"/>
      <c r="G17" s="151"/>
      <c r="H17" s="151"/>
      <c r="I17" s="151"/>
      <c r="J17" s="151"/>
      <c r="K17" s="218">
        <f t="shared" si="0"/>
        <v>11</v>
      </c>
      <c r="L17" s="216" t="str">
        <f t="shared" si="1"/>
        <v>2321SVEUČILIŠTE J. J. STROSSMAYERA U OSIJEKU - FILOZOFSKI FAKULTET</v>
      </c>
      <c r="M17" s="216">
        <v>2321</v>
      </c>
      <c r="N17" s="219" t="s">
        <v>1964</v>
      </c>
      <c r="O17" s="226" t="s">
        <v>371</v>
      </c>
      <c r="P17" s="219" t="s">
        <v>379</v>
      </c>
      <c r="Q17" s="219" t="s">
        <v>373</v>
      </c>
      <c r="R17" s="217">
        <v>3014185</v>
      </c>
      <c r="S17" s="213" t="s">
        <v>380</v>
      </c>
      <c r="T17" s="214" t="s">
        <v>49</v>
      </c>
      <c r="U17" s="215" t="s">
        <v>48</v>
      </c>
      <c r="V17" s="151"/>
      <c r="W17" s="151"/>
      <c r="X17" s="151"/>
      <c r="Y17" s="151"/>
      <c r="Z17" s="151"/>
      <c r="AA17" s="151"/>
      <c r="AB17" s="151"/>
    </row>
    <row r="18" spans="1:28" ht="19.5" customHeight="1">
      <c r="A18" s="167">
        <v>3</v>
      </c>
      <c r="B18" s="160" t="s">
        <v>8</v>
      </c>
      <c r="C18" s="169">
        <f>'PLAN RASHODA I IZDATAKA'!D4</f>
        <v>30771003</v>
      </c>
      <c r="D18" s="170">
        <f>'PLAN RASHODA I IZDATAKA'!D72</f>
        <v>32464629</v>
      </c>
      <c r="E18" s="170">
        <f>'PLAN RASHODA I IZDATAKA'!D92</f>
        <v>32281241</v>
      </c>
      <c r="F18" s="151"/>
      <c r="G18" s="151"/>
      <c r="H18" s="151"/>
      <c r="I18" s="151"/>
      <c r="J18" s="151"/>
      <c r="K18" s="218">
        <f t="shared" si="0"/>
        <v>12</v>
      </c>
      <c r="L18" s="216" t="str">
        <f t="shared" si="1"/>
        <v>2508SVEUČILIŠTE J. J. STROSSMAYERA U OSIJEKU - GRADSKA I SVEUČILIŠNA KNJIŽNICA</v>
      </c>
      <c r="M18" s="216">
        <v>2508</v>
      </c>
      <c r="N18" s="219" t="s">
        <v>1965</v>
      </c>
      <c r="O18" s="226" t="s">
        <v>371</v>
      </c>
      <c r="P18" s="219" t="s">
        <v>381</v>
      </c>
      <c r="Q18" s="219" t="s">
        <v>373</v>
      </c>
      <c r="R18" s="217">
        <v>3014347</v>
      </c>
      <c r="S18" s="213" t="s">
        <v>382</v>
      </c>
      <c r="T18" s="214" t="s">
        <v>49</v>
      </c>
      <c r="U18" s="215" t="s">
        <v>48</v>
      </c>
      <c r="V18" s="151"/>
      <c r="W18" s="151"/>
      <c r="X18" s="151"/>
      <c r="Y18" s="151"/>
      <c r="Z18" s="151"/>
      <c r="AA18" s="151"/>
      <c r="AB18" s="151"/>
    </row>
    <row r="19" spans="1:28" ht="19.5" customHeight="1">
      <c r="A19" s="163">
        <v>4</v>
      </c>
      <c r="B19" s="165" t="s">
        <v>9</v>
      </c>
      <c r="C19" s="169">
        <f>'PLAN RASHODA I IZDATAKA'!D38</f>
        <v>1398500</v>
      </c>
      <c r="D19" s="170">
        <f>'PLAN RASHODA I IZDATAKA'!D80</f>
        <v>3018000</v>
      </c>
      <c r="E19" s="170">
        <f>'PLAN RASHODA I IZDATAKA'!D100</f>
        <v>3016000</v>
      </c>
      <c r="F19" s="151"/>
      <c r="G19" s="151"/>
      <c r="H19" s="151"/>
      <c r="I19" s="151"/>
      <c r="J19" s="151"/>
      <c r="K19" s="218">
        <f t="shared" si="0"/>
        <v>13</v>
      </c>
      <c r="L19" s="216" t="str">
        <f t="shared" si="1"/>
        <v>2250SVEUČILIŠTE J. J. STROSSMAYERA U OSIJEKU - GRAĐEVINSKI I ARHITEKTONSKI FAKULTET OSIJEK</v>
      </c>
      <c r="M19" s="216">
        <v>2250</v>
      </c>
      <c r="N19" s="219" t="s">
        <v>1966</v>
      </c>
      <c r="O19" s="226" t="s">
        <v>371</v>
      </c>
      <c r="P19" s="219" t="s">
        <v>1916</v>
      </c>
      <c r="Q19" s="219" t="s">
        <v>373</v>
      </c>
      <c r="R19" s="217">
        <v>3397335</v>
      </c>
      <c r="S19" s="213" t="s">
        <v>383</v>
      </c>
      <c r="T19" s="214" t="s">
        <v>49</v>
      </c>
      <c r="U19" s="215" t="s">
        <v>48</v>
      </c>
      <c r="V19" s="151"/>
      <c r="W19" s="151"/>
      <c r="X19" s="151"/>
      <c r="Y19" s="151"/>
      <c r="Z19" s="151"/>
      <c r="AA19" s="151"/>
      <c r="AB19" s="151"/>
    </row>
    <row r="20" spans="1:28" ht="19.5" customHeight="1">
      <c r="A20" s="160"/>
      <c r="B20" s="160" t="s">
        <v>10</v>
      </c>
      <c r="C20" s="161">
        <f>+C14-C17</f>
        <v>591120</v>
      </c>
      <c r="D20" s="161">
        <f>+D14-D17</f>
        <v>-290994</v>
      </c>
      <c r="E20" s="161">
        <f>+E14-E17</f>
        <v>112359</v>
      </c>
      <c r="F20" s="151"/>
      <c r="G20" s="151"/>
      <c r="H20" s="151"/>
      <c r="I20" s="151"/>
      <c r="J20" s="151"/>
      <c r="K20" s="218">
        <f t="shared" si="0"/>
        <v>14</v>
      </c>
      <c r="L20" s="216" t="str">
        <f t="shared" si="1"/>
        <v>38479SVEUČILIŠTE J. J. STROSSMAYERA U OSIJEKU - KATOLIČKI BOGOSLOVNI FAKULTET U ĐAKOVU</v>
      </c>
      <c r="M20" s="216">
        <v>38479</v>
      </c>
      <c r="N20" s="219" t="s">
        <v>1967</v>
      </c>
      <c r="O20" s="226" t="s">
        <v>371</v>
      </c>
      <c r="P20" s="219" t="s">
        <v>393</v>
      </c>
      <c r="Q20" s="219" t="s">
        <v>394</v>
      </c>
      <c r="R20" s="217">
        <v>1986490</v>
      </c>
      <c r="S20" s="213" t="s">
        <v>395</v>
      </c>
      <c r="T20" s="214" t="s">
        <v>49</v>
      </c>
      <c r="U20" s="215" t="s">
        <v>48</v>
      </c>
      <c r="V20" s="151"/>
      <c r="W20" s="151"/>
      <c r="X20" s="151"/>
      <c r="Y20" s="151"/>
      <c r="Z20" s="151"/>
      <c r="AA20" s="151"/>
      <c r="AB20" s="151"/>
    </row>
    <row r="21" spans="1:28" ht="19.5" customHeight="1">
      <c r="B21" s="271"/>
      <c r="C21" s="272"/>
      <c r="D21" s="272"/>
      <c r="E21" s="272"/>
      <c r="F21" s="151"/>
      <c r="G21" s="151"/>
      <c r="H21" s="151"/>
      <c r="I21" s="151"/>
      <c r="J21" s="151"/>
      <c r="K21" s="218">
        <f t="shared" si="0"/>
        <v>15</v>
      </c>
      <c r="L21" s="216" t="str">
        <f t="shared" si="1"/>
        <v>51450SVEUČILIŠTE J. J. STROSSMAYERA U OSIJEKU - KINEZIOLOŠKI FAKULTET OSIJEK</v>
      </c>
      <c r="M21" s="216">
        <v>51450</v>
      </c>
      <c r="N21" s="219" t="s">
        <v>1968</v>
      </c>
      <c r="O21" s="226" t="s">
        <v>371</v>
      </c>
      <c r="P21" s="219" t="s">
        <v>1969</v>
      </c>
      <c r="Q21" s="219" t="s">
        <v>373</v>
      </c>
      <c r="R21" s="217">
        <v>5302099</v>
      </c>
      <c r="S21" s="213" t="s">
        <v>1970</v>
      </c>
      <c r="T21" s="214" t="s">
        <v>49</v>
      </c>
      <c r="U21" s="215" t="s">
        <v>48</v>
      </c>
      <c r="V21" s="151"/>
      <c r="W21" s="151"/>
      <c r="X21" s="151"/>
      <c r="Y21" s="151"/>
      <c r="Z21" s="151"/>
      <c r="AA21" s="151"/>
      <c r="AB21" s="151"/>
    </row>
    <row r="22" spans="1:28" ht="29.25" customHeight="1">
      <c r="A22" s="158"/>
      <c r="B22" s="158"/>
      <c r="C22" s="158" t="s">
        <v>1984</v>
      </c>
      <c r="D22" s="158" t="s">
        <v>1985</v>
      </c>
      <c r="E22" s="158" t="s">
        <v>1986</v>
      </c>
      <c r="F22" s="151"/>
      <c r="G22" s="151"/>
      <c r="H22" s="166"/>
      <c r="I22" s="151"/>
      <c r="J22" s="151"/>
      <c r="K22" s="218">
        <f t="shared" si="0"/>
        <v>16</v>
      </c>
      <c r="L22" s="216" t="str">
        <f t="shared" si="1"/>
        <v>22849SVEUČILIŠTE J. J. STROSSMAYERA U OSIJEKU - MEDICINSKI FAKULTET</v>
      </c>
      <c r="M22" s="216">
        <v>22849</v>
      </c>
      <c r="N22" s="219" t="s">
        <v>1971</v>
      </c>
      <c r="O22" s="226" t="s">
        <v>371</v>
      </c>
      <c r="P22" s="219" t="s">
        <v>384</v>
      </c>
      <c r="Q22" s="219" t="s">
        <v>373</v>
      </c>
      <c r="R22" s="217">
        <v>1388142</v>
      </c>
      <c r="S22" s="213" t="s">
        <v>385</v>
      </c>
      <c r="T22" s="214" t="s">
        <v>49</v>
      </c>
      <c r="U22" s="215" t="s">
        <v>48</v>
      </c>
      <c r="V22" s="151"/>
      <c r="W22" s="151"/>
      <c r="X22" s="151"/>
      <c r="Y22" s="151"/>
      <c r="Z22" s="151"/>
      <c r="AA22" s="151"/>
      <c r="AB22" s="151"/>
    </row>
    <row r="23" spans="1:28" ht="30">
      <c r="A23" s="171" t="s">
        <v>11</v>
      </c>
      <c r="B23" s="171" t="s">
        <v>12</v>
      </c>
      <c r="C23" s="169">
        <f>'PLAN PRIHODA I PRIMITAKA '!D5</f>
        <v>11607977</v>
      </c>
      <c r="D23" s="169">
        <f>'PLAN PRIHODA I PRIMITAKA '!D45</f>
        <v>12199097</v>
      </c>
      <c r="E23" s="169">
        <f>'PLAN PRIHODA I PRIMITAKA '!D85</f>
        <v>11908103</v>
      </c>
      <c r="F23" s="151"/>
      <c r="G23" s="151"/>
      <c r="H23" s="172"/>
      <c r="I23" s="151"/>
      <c r="J23" s="151"/>
      <c r="K23" s="218">
        <f t="shared" si="0"/>
        <v>17</v>
      </c>
      <c r="L23" s="216" t="str">
        <f t="shared" si="1"/>
        <v>2292SVEUČILIŠTE J. J. STROSSMAYERA U OSIJEKU - PRAVNI FAKULTET</v>
      </c>
      <c r="M23" s="216">
        <v>2292</v>
      </c>
      <c r="N23" s="219" t="s">
        <v>1972</v>
      </c>
      <c r="O23" s="226" t="s">
        <v>371</v>
      </c>
      <c r="P23" s="219" t="s">
        <v>388</v>
      </c>
      <c r="Q23" s="219" t="s">
        <v>373</v>
      </c>
      <c r="R23" s="217">
        <v>3014193</v>
      </c>
      <c r="S23" s="213" t="s">
        <v>389</v>
      </c>
      <c r="T23" s="214" t="s">
        <v>49</v>
      </c>
      <c r="U23" s="215" t="s">
        <v>48</v>
      </c>
      <c r="V23" s="151"/>
      <c r="W23" s="151"/>
      <c r="X23" s="151"/>
      <c r="Y23" s="151"/>
      <c r="Z23" s="151"/>
      <c r="AA23" s="151"/>
      <c r="AB23" s="151"/>
    </row>
    <row r="24" spans="1:28" ht="30">
      <c r="A24" s="171" t="s">
        <v>13</v>
      </c>
      <c r="B24" s="171" t="s">
        <v>14</v>
      </c>
      <c r="C24" s="173">
        <f>'PLAN PRIHODA I PRIMITAKA '!D7</f>
        <v>-12199097</v>
      </c>
      <c r="D24" s="173">
        <f>'PLAN PRIHODA I PRIMITAKA '!D47</f>
        <v>-11908103</v>
      </c>
      <c r="E24" s="174">
        <f>'PLAN PRIHODA I PRIMITAKA '!D87</f>
        <v>-12020462</v>
      </c>
      <c r="F24" s="151"/>
      <c r="G24" s="151"/>
      <c r="H24" s="172"/>
      <c r="I24" s="151"/>
      <c r="J24" s="151"/>
      <c r="K24" s="218">
        <f t="shared" si="0"/>
        <v>18</v>
      </c>
      <c r="L24" s="216" t="str">
        <f t="shared" si="1"/>
        <v>2276SVEUČILIŠTE J. J. STROSSMAYERA U OSIJEKU - PREHRAMBENO TEHNOLOŠKI FAKULTET</v>
      </c>
      <c r="M24" s="216">
        <v>2276</v>
      </c>
      <c r="N24" s="219" t="s">
        <v>1973</v>
      </c>
      <c r="O24" s="226" t="s">
        <v>371</v>
      </c>
      <c r="P24" s="219" t="s">
        <v>1974</v>
      </c>
      <c r="Q24" s="219" t="s">
        <v>373</v>
      </c>
      <c r="R24" s="217">
        <v>3058204</v>
      </c>
      <c r="S24" s="213" t="s">
        <v>390</v>
      </c>
      <c r="T24" s="214" t="s">
        <v>49</v>
      </c>
      <c r="U24" s="215" t="s">
        <v>48</v>
      </c>
      <c r="V24" s="151"/>
      <c r="W24" s="151"/>
      <c r="X24" s="151"/>
      <c r="Y24" s="151"/>
      <c r="Z24" s="151"/>
      <c r="AA24" s="151"/>
      <c r="AB24" s="151"/>
    </row>
    <row r="25" spans="1:28" ht="19.5" customHeight="1">
      <c r="B25" s="271"/>
      <c r="C25" s="272"/>
      <c r="D25" s="272"/>
      <c r="E25" s="272"/>
      <c r="F25" s="151"/>
      <c r="G25" s="151"/>
      <c r="H25" s="151"/>
      <c r="I25" s="151"/>
      <c r="J25" s="151"/>
      <c r="K25" s="218">
        <f t="shared" si="0"/>
        <v>19</v>
      </c>
      <c r="L25" s="216" t="str">
        <f t="shared" si="1"/>
        <v>42024SVEUČILIŠTE JURJA DOBRILE U PULI</v>
      </c>
      <c r="M25" s="216">
        <v>42024</v>
      </c>
      <c r="N25" s="219" t="s">
        <v>399</v>
      </c>
      <c r="O25" s="220" t="s">
        <v>1987</v>
      </c>
      <c r="P25" s="219" t="s">
        <v>400</v>
      </c>
      <c r="Q25" s="219" t="s">
        <v>401</v>
      </c>
      <c r="R25" s="217">
        <v>2161753</v>
      </c>
      <c r="S25" s="213" t="s">
        <v>402</v>
      </c>
      <c r="T25" s="214" t="s">
        <v>49</v>
      </c>
      <c r="U25" s="215" t="s">
        <v>48</v>
      </c>
      <c r="V25" s="151"/>
      <c r="W25" s="151"/>
      <c r="X25" s="151"/>
      <c r="Y25" s="151"/>
      <c r="Z25" s="151"/>
      <c r="AA25" s="151"/>
      <c r="AB25" s="151"/>
    </row>
    <row r="26" spans="1:28" ht="30.75" customHeight="1">
      <c r="A26" s="158"/>
      <c r="B26" s="158"/>
      <c r="C26" s="158" t="s">
        <v>1984</v>
      </c>
      <c r="D26" s="158" t="s">
        <v>1985</v>
      </c>
      <c r="E26" s="158" t="s">
        <v>1986</v>
      </c>
      <c r="F26" s="151"/>
      <c r="G26" s="151"/>
      <c r="H26" s="175"/>
      <c r="I26" s="151"/>
      <c r="J26" s="151"/>
      <c r="K26" s="218">
        <f t="shared" si="0"/>
        <v>20</v>
      </c>
      <c r="L26" s="216" t="str">
        <f t="shared" si="1"/>
        <v>48267SVEUČILIŠTE SJEVER</v>
      </c>
      <c r="M26" s="216">
        <v>48267</v>
      </c>
      <c r="N26" s="219" t="s">
        <v>403</v>
      </c>
      <c r="O26" s="220" t="s">
        <v>403</v>
      </c>
      <c r="P26" s="219" t="s">
        <v>1919</v>
      </c>
      <c r="Q26" s="219" t="s">
        <v>404</v>
      </c>
      <c r="R26" s="217">
        <v>2752298</v>
      </c>
      <c r="S26" s="213" t="s">
        <v>405</v>
      </c>
      <c r="T26" s="214" t="s">
        <v>49</v>
      </c>
      <c r="U26" s="215" t="s">
        <v>48</v>
      </c>
      <c r="V26" s="151"/>
      <c r="W26" s="151"/>
      <c r="X26" s="151"/>
      <c r="Y26" s="151"/>
      <c r="Z26" s="151"/>
      <c r="AA26" s="151"/>
      <c r="AB26" s="151"/>
    </row>
    <row r="27" spans="1:28" ht="30">
      <c r="A27" s="163">
        <v>8</v>
      </c>
      <c r="B27" s="160" t="s">
        <v>15</v>
      </c>
      <c r="C27" s="164">
        <f>'PLAN PRIHODA I PRIMITAKA '!D40</f>
        <v>0</v>
      </c>
      <c r="D27" s="164">
        <f>'PLAN PRIHODA I PRIMITAKA '!D80</f>
        <v>0</v>
      </c>
      <c r="E27" s="164">
        <f>'PLAN PRIHODA I PRIMITAKA '!D120</f>
        <v>0</v>
      </c>
      <c r="F27" s="151"/>
      <c r="G27" s="151"/>
      <c r="H27" s="151"/>
      <c r="I27" s="151"/>
      <c r="J27" s="151"/>
      <c r="K27" s="218">
        <f t="shared" si="0"/>
        <v>21</v>
      </c>
      <c r="L27" s="216" t="str">
        <f t="shared" si="1"/>
        <v>24141SVEUČILIŠTE U DUBROVNIKU</v>
      </c>
      <c r="M27" s="216">
        <v>24141</v>
      </c>
      <c r="N27" s="219" t="s">
        <v>406</v>
      </c>
      <c r="O27" s="220" t="s">
        <v>406</v>
      </c>
      <c r="P27" s="219" t="s">
        <v>407</v>
      </c>
      <c r="Q27" s="219" t="s">
        <v>408</v>
      </c>
      <c r="R27" s="217">
        <v>1787578</v>
      </c>
      <c r="S27" s="213" t="s">
        <v>409</v>
      </c>
      <c r="T27" s="214" t="s">
        <v>49</v>
      </c>
      <c r="U27" s="215" t="s">
        <v>48</v>
      </c>
      <c r="V27" s="151"/>
      <c r="W27" s="151"/>
      <c r="X27" s="151"/>
      <c r="Y27" s="151"/>
      <c r="Z27" s="151"/>
      <c r="AA27" s="151"/>
      <c r="AB27" s="151"/>
    </row>
    <row r="28" spans="1:28" ht="30">
      <c r="A28" s="163">
        <v>5</v>
      </c>
      <c r="B28" s="160" t="s">
        <v>16</v>
      </c>
      <c r="C28" s="164">
        <f>'PLAN RASHODA I IZDATAKA'!D58</f>
        <v>0</v>
      </c>
      <c r="D28" s="164">
        <f>'PLAN RASHODA I IZDATAKA'!D86</f>
        <v>0</v>
      </c>
      <c r="E28" s="164">
        <f>'PLAN RASHODA I IZDATAKA'!D106</f>
        <v>0</v>
      </c>
      <c r="F28" s="176"/>
      <c r="G28" s="151"/>
      <c r="H28" s="151"/>
      <c r="I28" s="151"/>
      <c r="J28" s="151"/>
      <c r="K28" s="218">
        <f t="shared" si="0"/>
        <v>22</v>
      </c>
      <c r="L28" s="216" t="str">
        <f t="shared" si="1"/>
        <v>2444SVEUČILIŠTE U RIJECI</v>
      </c>
      <c r="M28" s="216">
        <v>2444</v>
      </c>
      <c r="N28" s="219" t="s">
        <v>413</v>
      </c>
      <c r="O28" s="156" t="s">
        <v>413</v>
      </c>
      <c r="P28" s="219" t="s">
        <v>414</v>
      </c>
      <c r="Q28" s="219" t="s">
        <v>415</v>
      </c>
      <c r="R28" s="217">
        <v>3337413</v>
      </c>
      <c r="S28" s="213" t="s">
        <v>416</v>
      </c>
      <c r="T28" s="214" t="s">
        <v>49</v>
      </c>
      <c r="U28" s="215" t="s">
        <v>48</v>
      </c>
      <c r="V28" s="151"/>
      <c r="W28" s="151"/>
      <c r="X28" s="151"/>
      <c r="Y28" s="151"/>
      <c r="Z28" s="151"/>
      <c r="AA28" s="151"/>
      <c r="AB28" s="151"/>
    </row>
    <row r="29" spans="1:28" ht="19.5" customHeight="1">
      <c r="A29" s="160"/>
      <c r="B29" s="160" t="s">
        <v>17</v>
      </c>
      <c r="C29" s="168">
        <f>+C27-C28</f>
        <v>0</v>
      </c>
      <c r="D29" s="168">
        <f>+D27-D28</f>
        <v>0</v>
      </c>
      <c r="E29" s="168">
        <f>+E27-E28</f>
        <v>0</v>
      </c>
      <c r="F29" s="151"/>
      <c r="G29" s="151"/>
      <c r="H29" s="151"/>
      <c r="I29" s="151"/>
      <c r="J29" s="151"/>
      <c r="K29" s="218">
        <f t="shared" si="0"/>
        <v>23</v>
      </c>
      <c r="L29" s="216" t="str">
        <f t="shared" si="1"/>
        <v>38454SVEUČILIŠTE U RIJECI - AKADEMIJA PRIMJENJENIH UMJETNOSTI</v>
      </c>
      <c r="M29" s="216">
        <v>38454</v>
      </c>
      <c r="N29" s="219" t="s">
        <v>417</v>
      </c>
      <c r="O29" s="156" t="s">
        <v>413</v>
      </c>
      <c r="P29" s="219" t="s">
        <v>418</v>
      </c>
      <c r="Q29" s="219" t="s">
        <v>415</v>
      </c>
      <c r="R29" s="217">
        <v>1954253</v>
      </c>
      <c r="S29" s="213" t="s">
        <v>419</v>
      </c>
      <c r="T29" s="214" t="s">
        <v>49</v>
      </c>
      <c r="U29" s="215" t="s">
        <v>48</v>
      </c>
      <c r="V29" s="151"/>
      <c r="W29" s="151"/>
      <c r="X29" s="151"/>
      <c r="Y29" s="151"/>
      <c r="Z29" s="151"/>
      <c r="AA29" s="151"/>
      <c r="AB29" s="151"/>
    </row>
    <row r="30" spans="1:28" ht="19.5" customHeight="1">
      <c r="B30" s="271"/>
      <c r="C30" s="272"/>
      <c r="D30" s="272"/>
      <c r="E30" s="272"/>
      <c r="F30" s="151"/>
      <c r="G30" s="151"/>
      <c r="H30" s="151"/>
      <c r="I30" s="151"/>
      <c r="J30" s="151"/>
      <c r="K30" s="218">
        <f t="shared" si="0"/>
        <v>24</v>
      </c>
      <c r="L30" s="216" t="str">
        <f t="shared" si="1"/>
        <v>2186SVEUČILIŠTE U RIJECI - EKONOMSKI FAKULTET</v>
      </c>
      <c r="M30" s="216">
        <v>2186</v>
      </c>
      <c r="N30" s="219" t="s">
        <v>420</v>
      </c>
      <c r="O30" s="156" t="s">
        <v>413</v>
      </c>
      <c r="P30" s="219" t="s">
        <v>421</v>
      </c>
      <c r="Q30" s="219" t="s">
        <v>415</v>
      </c>
      <c r="R30" s="217">
        <v>3328627</v>
      </c>
      <c r="S30" s="213" t="s">
        <v>422</v>
      </c>
      <c r="T30" s="214" t="s">
        <v>49</v>
      </c>
      <c r="U30" s="215" t="s">
        <v>48</v>
      </c>
      <c r="V30" s="151"/>
      <c r="W30" s="151"/>
      <c r="X30" s="151"/>
      <c r="Y30" s="151"/>
      <c r="Z30" s="151"/>
      <c r="AA30" s="151"/>
      <c r="AB30" s="151"/>
    </row>
    <row r="31" spans="1:28" ht="30">
      <c r="A31" s="177"/>
      <c r="B31" s="177" t="s">
        <v>18</v>
      </c>
      <c r="C31" s="178">
        <f>+C20+C23+C24+C29</f>
        <v>0</v>
      </c>
      <c r="D31" s="178">
        <f>+D20+D23+D24+D29</f>
        <v>0</v>
      </c>
      <c r="E31" s="178">
        <f>+E20+E23+E24+E29</f>
        <v>0</v>
      </c>
      <c r="F31" s="151"/>
      <c r="G31" s="179"/>
      <c r="H31" s="151"/>
      <c r="I31" s="151"/>
      <c r="J31" s="151"/>
      <c r="K31" s="218">
        <f t="shared" si="0"/>
        <v>25</v>
      </c>
      <c r="L31" s="216" t="str">
        <f t="shared" si="1"/>
        <v>2194SVEUČILIŠTE U RIJECI - FAKULTET ZA MENADŽMENT U TURIZMU I UGOSTITELJSTVU</v>
      </c>
      <c r="M31" s="216">
        <v>2194</v>
      </c>
      <c r="N31" s="219" t="s">
        <v>423</v>
      </c>
      <c r="O31" s="156" t="s">
        <v>413</v>
      </c>
      <c r="P31" s="219" t="s">
        <v>424</v>
      </c>
      <c r="Q31" s="219" t="s">
        <v>425</v>
      </c>
      <c r="R31" s="217">
        <v>3091732</v>
      </c>
      <c r="S31" s="213" t="s">
        <v>426</v>
      </c>
      <c r="T31" s="214" t="s">
        <v>49</v>
      </c>
      <c r="U31" s="215" t="s">
        <v>48</v>
      </c>
      <c r="V31" s="151"/>
      <c r="W31" s="151"/>
      <c r="X31" s="151"/>
      <c r="Y31" s="151"/>
      <c r="Z31" s="151"/>
      <c r="AA31" s="151"/>
      <c r="AB31" s="151"/>
    </row>
    <row r="32" spans="1:28" ht="18.75" customHeight="1">
      <c r="A32" s="157"/>
      <c r="B32" s="157"/>
      <c r="C32" s="151"/>
      <c r="D32" s="151"/>
      <c r="E32" s="151"/>
      <c r="F32" s="151"/>
      <c r="G32" s="151"/>
      <c r="H32" s="151"/>
      <c r="I32" s="151"/>
      <c r="J32" s="151"/>
      <c r="K32" s="218">
        <f t="shared" si="0"/>
        <v>26</v>
      </c>
      <c r="L32" s="216" t="str">
        <f t="shared" si="1"/>
        <v>48023SVEUČILIŠTE U RIJECI - FAKULTET ZDRAVSTVENIH STUDIJA U RIJECI</v>
      </c>
      <c r="M32" s="216">
        <v>48023</v>
      </c>
      <c r="N32" s="219" t="s">
        <v>450</v>
      </c>
      <c r="O32" s="156" t="s">
        <v>413</v>
      </c>
      <c r="P32" s="219" t="s">
        <v>451</v>
      </c>
      <c r="Q32" s="219" t="s">
        <v>415</v>
      </c>
      <c r="R32" s="217" t="s">
        <v>452</v>
      </c>
      <c r="S32" s="213" t="s">
        <v>453</v>
      </c>
      <c r="T32" s="214" t="s">
        <v>49</v>
      </c>
      <c r="U32" s="215" t="s">
        <v>48</v>
      </c>
      <c r="V32" s="151"/>
      <c r="W32" s="151"/>
      <c r="X32" s="151"/>
      <c r="Y32" s="151"/>
      <c r="Z32" s="151"/>
      <c r="AA32" s="151"/>
      <c r="AB32" s="151"/>
    </row>
    <row r="33" spans="1:28" ht="15">
      <c r="A33" s="180"/>
      <c r="B33" s="180"/>
      <c r="C33" s="180"/>
      <c r="D33" s="180"/>
      <c r="E33" s="180"/>
      <c r="F33" s="180"/>
      <c r="G33" s="181"/>
      <c r="H33" s="181"/>
      <c r="I33" s="181"/>
      <c r="J33" s="181"/>
      <c r="K33" s="218">
        <f t="shared" si="0"/>
        <v>27</v>
      </c>
      <c r="L33" s="216" t="str">
        <f t="shared" si="1"/>
        <v>22857SVEUČILIŠTE U RIJECI - FILOZOFSKI FAKULTET</v>
      </c>
      <c r="M33" s="216">
        <v>22857</v>
      </c>
      <c r="N33" s="219" t="s">
        <v>427</v>
      </c>
      <c r="O33" s="156" t="s">
        <v>413</v>
      </c>
      <c r="P33" s="219" t="s">
        <v>428</v>
      </c>
      <c r="Q33" s="219" t="s">
        <v>415</v>
      </c>
      <c r="R33" s="217">
        <v>3368491</v>
      </c>
      <c r="S33" s="213" t="s">
        <v>429</v>
      </c>
      <c r="T33" s="214" t="s">
        <v>49</v>
      </c>
      <c r="U33" s="215" t="s">
        <v>48</v>
      </c>
      <c r="V33" s="181"/>
      <c r="W33" s="181"/>
      <c r="X33" s="181"/>
      <c r="Y33" s="181"/>
      <c r="Z33" s="181"/>
      <c r="AA33" s="181"/>
      <c r="AB33" s="181"/>
    </row>
    <row r="34" spans="1:28" ht="15" hidden="1">
      <c r="A34" s="151"/>
      <c r="B34" s="151"/>
      <c r="C34" s="151"/>
      <c r="D34" s="151"/>
      <c r="E34" s="151"/>
      <c r="F34" s="151"/>
      <c r="G34" s="151"/>
      <c r="H34" s="151"/>
      <c r="I34" s="151"/>
      <c r="J34" s="151"/>
      <c r="K34" s="218">
        <f t="shared" si="0"/>
        <v>28</v>
      </c>
      <c r="L34" s="216" t="str">
        <f t="shared" si="1"/>
        <v>2160SVEUČILIŠTE U RIJECI - GRAĐEVINSKI FAKULTET</v>
      </c>
      <c r="M34" s="216">
        <v>2160</v>
      </c>
      <c r="N34" s="219" t="s">
        <v>1920</v>
      </c>
      <c r="O34" s="156" t="s">
        <v>413</v>
      </c>
      <c r="P34" s="219" t="s">
        <v>430</v>
      </c>
      <c r="Q34" s="219" t="s">
        <v>415</v>
      </c>
      <c r="R34" s="217">
        <v>3395855</v>
      </c>
      <c r="S34" s="213" t="s">
        <v>431</v>
      </c>
      <c r="T34" s="214" t="s">
        <v>49</v>
      </c>
      <c r="U34" s="215" t="s">
        <v>48</v>
      </c>
      <c r="V34" s="151"/>
      <c r="W34" s="151"/>
      <c r="X34" s="151"/>
      <c r="Y34" s="151"/>
      <c r="Z34" s="151"/>
      <c r="AA34" s="151"/>
      <c r="AB34" s="151"/>
    </row>
    <row r="35" spans="1:28" ht="15" hidden="1">
      <c r="A35" s="151"/>
      <c r="B35" s="151"/>
      <c r="C35" s="151"/>
      <c r="D35" s="151"/>
      <c r="E35" s="151"/>
      <c r="F35" s="151"/>
      <c r="G35" s="151"/>
      <c r="H35" s="151"/>
      <c r="I35" s="151"/>
      <c r="J35" s="151"/>
      <c r="K35" s="218">
        <f t="shared" si="0"/>
        <v>29</v>
      </c>
      <c r="L35" s="216" t="str">
        <f t="shared" si="1"/>
        <v>2225SVEUČILIŠTE U RIJECI - MEDICINSKI FAKULTET</v>
      </c>
      <c r="M35" s="216">
        <v>2225</v>
      </c>
      <c r="N35" s="219" t="s">
        <v>432</v>
      </c>
      <c r="O35" s="156" t="s">
        <v>413</v>
      </c>
      <c r="P35" s="219" t="s">
        <v>433</v>
      </c>
      <c r="Q35" s="219" t="s">
        <v>415</v>
      </c>
      <c r="R35" s="217">
        <v>3328554</v>
      </c>
      <c r="S35" s="213" t="s">
        <v>434</v>
      </c>
      <c r="T35" s="214" t="s">
        <v>49</v>
      </c>
      <c r="U35" s="215" t="s">
        <v>48</v>
      </c>
      <c r="V35" s="151"/>
      <c r="W35" s="151"/>
      <c r="X35" s="151"/>
      <c r="Y35" s="151"/>
      <c r="Z35" s="151"/>
      <c r="AA35" s="151"/>
      <c r="AB35" s="151"/>
    </row>
    <row r="36" spans="1:28" ht="15" hidden="1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218">
        <f t="shared" si="0"/>
        <v>30</v>
      </c>
      <c r="L36" s="216" t="str">
        <f t="shared" si="1"/>
        <v>22568SVEUČILIŠTE U RIJECI - POMORSKI FAKULTET</v>
      </c>
      <c r="M36" s="216">
        <v>22568</v>
      </c>
      <c r="N36" s="219" t="s">
        <v>435</v>
      </c>
      <c r="O36" s="156" t="s">
        <v>413</v>
      </c>
      <c r="P36" s="219" t="s">
        <v>436</v>
      </c>
      <c r="Q36" s="219" t="s">
        <v>415</v>
      </c>
      <c r="R36" s="217">
        <v>1580485</v>
      </c>
      <c r="S36" s="213" t="s">
        <v>437</v>
      </c>
      <c r="T36" s="214" t="s">
        <v>49</v>
      </c>
      <c r="U36" s="215" t="s">
        <v>48</v>
      </c>
      <c r="V36" s="151"/>
      <c r="W36" s="151"/>
      <c r="X36" s="151"/>
      <c r="Y36" s="151"/>
      <c r="Z36" s="151"/>
      <c r="AA36" s="151"/>
      <c r="AB36" s="151"/>
    </row>
    <row r="37" spans="1:28" ht="15" hidden="1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218">
        <f t="shared" si="0"/>
        <v>31</v>
      </c>
      <c r="L37" s="216" t="str">
        <f t="shared" si="1"/>
        <v>2217SVEUČILIŠTE U RIJECI - PRAVNI FAKULTET</v>
      </c>
      <c r="M37" s="216">
        <v>2217</v>
      </c>
      <c r="N37" s="219" t="s">
        <v>438</v>
      </c>
      <c r="O37" s="156" t="s">
        <v>413</v>
      </c>
      <c r="P37" s="219" t="s">
        <v>439</v>
      </c>
      <c r="Q37" s="219" t="s">
        <v>415</v>
      </c>
      <c r="R37" s="217">
        <v>3328562</v>
      </c>
      <c r="S37" s="213" t="s">
        <v>440</v>
      </c>
      <c r="T37" s="214" t="s">
        <v>49</v>
      </c>
      <c r="U37" s="215" t="s">
        <v>48</v>
      </c>
      <c r="V37" s="151"/>
      <c r="W37" s="151"/>
      <c r="X37" s="151"/>
      <c r="Y37" s="151"/>
      <c r="Z37" s="151"/>
      <c r="AA37" s="151"/>
      <c r="AB37" s="151"/>
    </row>
    <row r="38" spans="1:28" ht="15" hidden="1">
      <c r="A38" s="151"/>
      <c r="B38" s="151"/>
      <c r="C38" s="151"/>
      <c r="D38" s="151"/>
      <c r="E38" s="151"/>
      <c r="F38" s="151"/>
      <c r="G38" s="151"/>
      <c r="H38" s="151"/>
      <c r="I38" s="151"/>
      <c r="J38" s="151"/>
      <c r="K38" s="218">
        <f t="shared" si="0"/>
        <v>32</v>
      </c>
      <c r="L38" s="216" t="str">
        <f t="shared" si="1"/>
        <v>2493SVEUČILIŠTE U RIJECI - SVEUČILIŠNA KNJIŽNICA</v>
      </c>
      <c r="M38" s="216">
        <v>2493</v>
      </c>
      <c r="N38" s="219" t="s">
        <v>441</v>
      </c>
      <c r="O38" s="156" t="s">
        <v>413</v>
      </c>
      <c r="P38" s="219" t="s">
        <v>442</v>
      </c>
      <c r="Q38" s="219" t="s">
        <v>415</v>
      </c>
      <c r="R38" s="217">
        <v>3328686</v>
      </c>
      <c r="S38" s="213" t="s">
        <v>443</v>
      </c>
      <c r="T38" s="214" t="s">
        <v>49</v>
      </c>
      <c r="U38" s="215" t="s">
        <v>48</v>
      </c>
      <c r="V38" s="151"/>
      <c r="W38" s="151"/>
      <c r="X38" s="151"/>
      <c r="Y38" s="151"/>
      <c r="Z38" s="151"/>
      <c r="AA38" s="151"/>
      <c r="AB38" s="151"/>
    </row>
    <row r="39" spans="1:28" ht="15" hidden="1">
      <c r="A39" s="151"/>
      <c r="B39" s="151"/>
      <c r="C39" s="151"/>
      <c r="D39" s="151"/>
      <c r="E39" s="151"/>
      <c r="F39" s="151"/>
      <c r="G39" s="151"/>
      <c r="H39" s="151"/>
      <c r="I39" s="151"/>
      <c r="J39" s="151"/>
      <c r="K39" s="218">
        <f t="shared" si="0"/>
        <v>33</v>
      </c>
      <c r="L39" s="216" t="str">
        <f t="shared" si="1"/>
        <v>2151SVEUČILIŠTE U RIJECI - TEHNIČKI FAKULTET</v>
      </c>
      <c r="M39" s="216">
        <v>2151</v>
      </c>
      <c r="N39" s="219" t="s">
        <v>444</v>
      </c>
      <c r="O39" s="156" t="s">
        <v>413</v>
      </c>
      <c r="P39" s="219" t="s">
        <v>445</v>
      </c>
      <c r="Q39" s="219" t="s">
        <v>415</v>
      </c>
      <c r="R39" s="217">
        <v>3334317</v>
      </c>
      <c r="S39" s="213" t="s">
        <v>446</v>
      </c>
      <c r="T39" s="214" t="s">
        <v>49</v>
      </c>
      <c r="U39" s="215" t="s">
        <v>48</v>
      </c>
      <c r="V39" s="151"/>
      <c r="W39" s="151"/>
      <c r="X39" s="151"/>
      <c r="Y39" s="151"/>
      <c r="Z39" s="151"/>
      <c r="AA39" s="151"/>
      <c r="AB39" s="151"/>
    </row>
    <row r="40" spans="1:28" ht="15" hidden="1">
      <c r="A40" s="151"/>
      <c r="B40" s="151"/>
      <c r="C40" s="151"/>
      <c r="D40" s="151"/>
      <c r="E40" s="151"/>
      <c r="F40" s="151"/>
      <c r="G40" s="151"/>
      <c r="H40" s="151"/>
      <c r="I40" s="151"/>
      <c r="J40" s="151"/>
      <c r="K40" s="218">
        <f t="shared" si="0"/>
        <v>34</v>
      </c>
      <c r="L40" s="216" t="str">
        <f t="shared" si="1"/>
        <v>40947SVEUČILIŠTE U RIJECI - UČITELJSKI FAKULTET</v>
      </c>
      <c r="M40" s="216">
        <v>40947</v>
      </c>
      <c r="N40" s="219" t="s">
        <v>447</v>
      </c>
      <c r="O40" s="156" t="s">
        <v>413</v>
      </c>
      <c r="P40" s="219" t="s">
        <v>448</v>
      </c>
      <c r="Q40" s="219" t="s">
        <v>415</v>
      </c>
      <c r="R40" s="217">
        <v>2116073</v>
      </c>
      <c r="S40" s="213" t="s">
        <v>449</v>
      </c>
      <c r="T40" s="214" t="s">
        <v>49</v>
      </c>
      <c r="U40" s="215" t="s">
        <v>48</v>
      </c>
      <c r="V40" s="151"/>
      <c r="W40" s="151"/>
      <c r="X40" s="151"/>
      <c r="Y40" s="151"/>
      <c r="Z40" s="151"/>
      <c r="AA40" s="151"/>
      <c r="AB40" s="151"/>
    </row>
    <row r="41" spans="1:28" ht="15" hidden="1">
      <c r="A41" s="151"/>
      <c r="B41" s="151"/>
      <c r="C41" s="151"/>
      <c r="D41" s="151"/>
      <c r="E41" s="151"/>
      <c r="F41" s="151"/>
      <c r="G41" s="151"/>
      <c r="H41" s="151"/>
      <c r="I41" s="151"/>
      <c r="J41" s="151"/>
      <c r="K41" s="218">
        <f t="shared" si="0"/>
        <v>35</v>
      </c>
      <c r="L41" s="216" t="str">
        <f t="shared" si="1"/>
        <v>51360SVEUČILIŠTE U SLAVONSKOM BRODU</v>
      </c>
      <c r="M41" s="216">
        <v>51360</v>
      </c>
      <c r="N41" s="219" t="s">
        <v>1918</v>
      </c>
      <c r="O41" s="226" t="s">
        <v>1918</v>
      </c>
      <c r="P41" s="219" t="s">
        <v>1975</v>
      </c>
      <c r="Q41" s="219" t="s">
        <v>1976</v>
      </c>
      <c r="R41" s="217">
        <v>5290538</v>
      </c>
      <c r="S41" s="213" t="s">
        <v>1977</v>
      </c>
      <c r="T41" s="214" t="s">
        <v>49</v>
      </c>
      <c r="U41" s="215" t="s">
        <v>48</v>
      </c>
      <c r="V41" s="151"/>
      <c r="W41" s="151"/>
      <c r="X41" s="151"/>
      <c r="Y41" s="151"/>
      <c r="Z41" s="151"/>
      <c r="AA41" s="151"/>
      <c r="AB41" s="151"/>
    </row>
    <row r="42" spans="1:28" ht="15" hidden="1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218">
        <f t="shared" si="0"/>
        <v>36</v>
      </c>
      <c r="L42" s="216" t="str">
        <f t="shared" si="1"/>
        <v>2469SVEUČILIŠTE U SPLITU</v>
      </c>
      <c r="M42" s="216">
        <v>2469</v>
      </c>
      <c r="N42" s="219" t="s">
        <v>454</v>
      </c>
      <c r="O42" s="220" t="s">
        <v>454</v>
      </c>
      <c r="P42" s="219" t="s">
        <v>464</v>
      </c>
      <c r="Q42" s="219" t="s">
        <v>455</v>
      </c>
      <c r="R42" s="217">
        <v>3129306</v>
      </c>
      <c r="S42" s="213" t="s">
        <v>456</v>
      </c>
      <c r="T42" s="214" t="s">
        <v>49</v>
      </c>
      <c r="U42" s="215" t="s">
        <v>48</v>
      </c>
      <c r="V42" s="151"/>
      <c r="W42" s="151"/>
      <c r="X42" s="151"/>
      <c r="Y42" s="151"/>
      <c r="Z42" s="151"/>
      <c r="AA42" s="151"/>
      <c r="AB42" s="151"/>
    </row>
    <row r="43" spans="1:28" ht="15" hidden="1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218">
        <f t="shared" si="0"/>
        <v>37</v>
      </c>
      <c r="L43" s="216" t="str">
        <f t="shared" si="1"/>
        <v>2372SVEUČILIŠTE U SPLITU - EKONOMSKI FAKULTET</v>
      </c>
      <c r="M43" s="216">
        <v>2372</v>
      </c>
      <c r="N43" s="219" t="s">
        <v>457</v>
      </c>
      <c r="O43" s="220" t="s">
        <v>454</v>
      </c>
      <c r="P43" s="219" t="s">
        <v>458</v>
      </c>
      <c r="Q43" s="219" t="s">
        <v>455</v>
      </c>
      <c r="R43" s="217">
        <v>3119076</v>
      </c>
      <c r="S43" s="213" t="s">
        <v>459</v>
      </c>
      <c r="T43" s="214" t="s">
        <v>49</v>
      </c>
      <c r="U43" s="215" t="s">
        <v>48</v>
      </c>
      <c r="V43" s="151"/>
      <c r="W43" s="151"/>
      <c r="X43" s="151"/>
      <c r="Y43" s="151"/>
      <c r="Z43" s="151"/>
      <c r="AA43" s="151"/>
      <c r="AB43" s="151"/>
    </row>
    <row r="44" spans="1:28" ht="15" hidden="1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218">
        <f t="shared" si="0"/>
        <v>38</v>
      </c>
      <c r="L44" s="216" t="str">
        <f t="shared" si="1"/>
        <v>2330SVEUČILIŠTE U SPLITU - FAKULTET ELEKTROTEHNIKE, STROJARSTVA I BRODOGRADNJE</v>
      </c>
      <c r="M44" s="216">
        <v>2330</v>
      </c>
      <c r="N44" s="219" t="s">
        <v>460</v>
      </c>
      <c r="O44" s="220" t="s">
        <v>454</v>
      </c>
      <c r="P44" s="219" t="s">
        <v>461</v>
      </c>
      <c r="Q44" s="219" t="s">
        <v>455</v>
      </c>
      <c r="R44" s="217">
        <v>3118339</v>
      </c>
      <c r="S44" s="213" t="s">
        <v>462</v>
      </c>
      <c r="T44" s="214" t="s">
        <v>49</v>
      </c>
      <c r="U44" s="215" t="s">
        <v>48</v>
      </c>
      <c r="V44" s="151"/>
      <c r="W44" s="151"/>
      <c r="X44" s="151"/>
      <c r="Y44" s="151"/>
      <c r="Z44" s="151"/>
      <c r="AA44" s="151"/>
      <c r="AB44" s="151"/>
    </row>
    <row r="45" spans="1:28" ht="15" hidden="1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218">
        <f t="shared" si="0"/>
        <v>39</v>
      </c>
      <c r="L45" s="216" t="str">
        <f t="shared" si="1"/>
        <v>2348SVEUČILIŠTE U SPLITU - FAKULTET GRAĐEVINARSTVA, ARHITEKTURE I GEODEZIJE</v>
      </c>
      <c r="M45" s="216">
        <v>2348</v>
      </c>
      <c r="N45" s="219" t="s">
        <v>466</v>
      </c>
      <c r="O45" s="220" t="s">
        <v>454</v>
      </c>
      <c r="P45" s="219" t="s">
        <v>467</v>
      </c>
      <c r="Q45" s="219" t="s">
        <v>455</v>
      </c>
      <c r="R45" s="217">
        <v>3149463</v>
      </c>
      <c r="S45" s="213" t="s">
        <v>468</v>
      </c>
      <c r="T45" s="214" t="s">
        <v>49</v>
      </c>
      <c r="U45" s="215" t="s">
        <v>48</v>
      </c>
      <c r="V45" s="151"/>
      <c r="W45" s="151"/>
      <c r="X45" s="151"/>
      <c r="Y45" s="151"/>
      <c r="Z45" s="151"/>
      <c r="AA45" s="151"/>
      <c r="AB45" s="151"/>
    </row>
    <row r="46" spans="1:28" ht="15" hidden="1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218">
        <f t="shared" si="0"/>
        <v>40</v>
      </c>
      <c r="L46" s="216" t="str">
        <f t="shared" si="1"/>
        <v>22435SVEUČILIŠTE U SPLITU - FILOZOFSKI FAKULTET</v>
      </c>
      <c r="M46" s="216">
        <v>22435</v>
      </c>
      <c r="N46" s="219" t="s">
        <v>463</v>
      </c>
      <c r="O46" s="220" t="s">
        <v>454</v>
      </c>
      <c r="P46" s="219" t="s">
        <v>464</v>
      </c>
      <c r="Q46" s="219" t="s">
        <v>455</v>
      </c>
      <c r="R46" s="217">
        <v>1413236</v>
      </c>
      <c r="S46" s="213" t="s">
        <v>465</v>
      </c>
      <c r="T46" s="214" t="s">
        <v>49</v>
      </c>
      <c r="U46" s="215" t="s">
        <v>48</v>
      </c>
      <c r="V46" s="151"/>
      <c r="W46" s="151"/>
      <c r="X46" s="151"/>
      <c r="Y46" s="151"/>
      <c r="Z46" s="151"/>
      <c r="AA46" s="151"/>
      <c r="AB46" s="151"/>
    </row>
    <row r="47" spans="1:28" ht="15" hidden="1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218">
        <f t="shared" si="0"/>
        <v>41</v>
      </c>
      <c r="L47" s="216" t="str">
        <f t="shared" si="1"/>
        <v>23368SVEUČILIŠTE U SPLITU - KATOLIČKI BOGOSLOVNI FAKULTET</v>
      </c>
      <c r="M47" s="216">
        <v>23368</v>
      </c>
      <c r="N47" s="219" t="s">
        <v>474</v>
      </c>
      <c r="O47" s="220" t="s">
        <v>454</v>
      </c>
      <c r="P47" s="219" t="s">
        <v>475</v>
      </c>
      <c r="Q47" s="219" t="s">
        <v>455</v>
      </c>
      <c r="R47" s="217">
        <v>1465643</v>
      </c>
      <c r="S47" s="213">
        <v>36149548625</v>
      </c>
      <c r="T47" s="214" t="s">
        <v>49</v>
      </c>
      <c r="U47" s="215" t="s">
        <v>48</v>
      </c>
      <c r="V47" s="151"/>
      <c r="W47" s="151"/>
      <c r="X47" s="151"/>
      <c r="Y47" s="151"/>
      <c r="Z47" s="151"/>
      <c r="AA47" s="151"/>
      <c r="AB47" s="151"/>
    </row>
    <row r="48" spans="1:28" ht="15" hidden="1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218">
        <f t="shared" si="0"/>
        <v>42</v>
      </c>
      <c r="L48" s="216" t="str">
        <f t="shared" si="1"/>
        <v>2356SVEUČILIŠTE U SPLITU - KEMIJSKO-TEHNOLOŠKI FAKULTET</v>
      </c>
      <c r="M48" s="216">
        <v>2356</v>
      </c>
      <c r="N48" s="219" t="s">
        <v>469</v>
      </c>
      <c r="O48" s="220" t="s">
        <v>454</v>
      </c>
      <c r="P48" s="219" t="s">
        <v>1921</v>
      </c>
      <c r="Q48" s="219" t="s">
        <v>455</v>
      </c>
      <c r="R48" s="217">
        <v>3119068</v>
      </c>
      <c r="S48" s="213" t="s">
        <v>470</v>
      </c>
      <c r="T48" s="214" t="s">
        <v>49</v>
      </c>
      <c r="U48" s="215" t="s">
        <v>48</v>
      </c>
      <c r="V48" s="151"/>
      <c r="W48" s="151"/>
      <c r="X48" s="151"/>
      <c r="Y48" s="151"/>
      <c r="Z48" s="151"/>
      <c r="AA48" s="151"/>
      <c r="AB48" s="151"/>
    </row>
    <row r="49" spans="1:28" ht="15" hidden="1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218">
        <f t="shared" si="0"/>
        <v>43</v>
      </c>
      <c r="L49" s="216" t="str">
        <f t="shared" si="1"/>
        <v>43773SVEUČILIŠTE U SPLITU - KINEZIOLOŠKI FAKULTET</v>
      </c>
      <c r="M49" s="216">
        <v>43773</v>
      </c>
      <c r="N49" s="219" t="s">
        <v>471</v>
      </c>
      <c r="O49" s="220" t="s">
        <v>454</v>
      </c>
      <c r="P49" s="219" t="s">
        <v>472</v>
      </c>
      <c r="Q49" s="219" t="s">
        <v>455</v>
      </c>
      <c r="R49" s="217">
        <v>2393255</v>
      </c>
      <c r="S49" s="213" t="s">
        <v>473</v>
      </c>
      <c r="T49" s="214" t="s">
        <v>49</v>
      </c>
      <c r="U49" s="215" t="s">
        <v>48</v>
      </c>
      <c r="V49" s="151"/>
      <c r="W49" s="151"/>
      <c r="X49" s="151"/>
      <c r="Y49" s="151"/>
      <c r="Z49" s="151"/>
      <c r="AA49" s="151"/>
      <c r="AB49" s="151"/>
    </row>
    <row r="50" spans="1:28" ht="15" hidden="1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218">
        <f t="shared" si="0"/>
        <v>44</v>
      </c>
      <c r="L50" s="216" t="str">
        <f t="shared" si="1"/>
        <v>22451SVEUČILIŠTE U SPLITU - MEDICINSKI FAKULTET</v>
      </c>
      <c r="M50" s="216">
        <v>22451</v>
      </c>
      <c r="N50" s="219" t="s">
        <v>476</v>
      </c>
      <c r="O50" s="220" t="s">
        <v>454</v>
      </c>
      <c r="P50" s="219" t="s">
        <v>477</v>
      </c>
      <c r="Q50" s="219" t="s">
        <v>455</v>
      </c>
      <c r="R50" s="217">
        <v>1315366</v>
      </c>
      <c r="S50" s="213" t="s">
        <v>478</v>
      </c>
      <c r="T50" s="214" t="s">
        <v>49</v>
      </c>
      <c r="U50" s="215" t="s">
        <v>48</v>
      </c>
      <c r="V50" s="151"/>
      <c r="W50" s="151"/>
      <c r="X50" s="151"/>
      <c r="Y50" s="151"/>
      <c r="Z50" s="151"/>
      <c r="AA50" s="151"/>
      <c r="AB50" s="151"/>
    </row>
    <row r="51" spans="1:28" ht="15" hidden="1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218">
        <f t="shared" si="0"/>
        <v>45</v>
      </c>
      <c r="L51" s="216" t="str">
        <f t="shared" si="1"/>
        <v>22460SVEUČILIŠTE U SPLITU - POMORSKI FAKULTET</v>
      </c>
      <c r="M51" s="216">
        <v>22460</v>
      </c>
      <c r="N51" s="219" t="s">
        <v>479</v>
      </c>
      <c r="O51" s="220" t="s">
        <v>454</v>
      </c>
      <c r="P51" s="219" t="s">
        <v>1922</v>
      </c>
      <c r="Q51" s="219" t="s">
        <v>455</v>
      </c>
      <c r="R51" s="217">
        <v>1406043</v>
      </c>
      <c r="S51" s="213" t="s">
        <v>480</v>
      </c>
      <c r="T51" s="214" t="s">
        <v>49</v>
      </c>
      <c r="U51" s="215" t="s">
        <v>48</v>
      </c>
      <c r="V51" s="151"/>
      <c r="W51" s="151"/>
      <c r="X51" s="151"/>
      <c r="Y51" s="151"/>
      <c r="Z51" s="151"/>
      <c r="AA51" s="151"/>
      <c r="AB51" s="151"/>
    </row>
    <row r="52" spans="1:28" ht="15" hidden="1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218">
        <f t="shared" si="0"/>
        <v>46</v>
      </c>
      <c r="L52" s="216" t="str">
        <f t="shared" si="1"/>
        <v>2397SVEUČILIŠTE U SPLITU - PRAVNI FAKULTET</v>
      </c>
      <c r="M52" s="216">
        <v>2397</v>
      </c>
      <c r="N52" s="219" t="s">
        <v>481</v>
      </c>
      <c r="O52" s="220" t="s">
        <v>454</v>
      </c>
      <c r="P52" s="219" t="s">
        <v>482</v>
      </c>
      <c r="Q52" s="219" t="s">
        <v>455</v>
      </c>
      <c r="R52" s="217">
        <v>3118347</v>
      </c>
      <c r="S52" s="213" t="s">
        <v>483</v>
      </c>
      <c r="T52" s="214" t="s">
        <v>49</v>
      </c>
      <c r="U52" s="215" t="s">
        <v>48</v>
      </c>
      <c r="V52" s="151"/>
      <c r="W52" s="151"/>
      <c r="X52" s="151"/>
      <c r="Y52" s="151"/>
      <c r="Z52" s="151"/>
      <c r="AA52" s="151"/>
      <c r="AB52" s="151"/>
    </row>
    <row r="53" spans="1:28" ht="15" hidden="1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218">
        <f t="shared" si="0"/>
        <v>47</v>
      </c>
      <c r="L53" s="216" t="str">
        <f t="shared" si="1"/>
        <v>2410SVEUČILIŠTE U SPLITU - PRIRODOSLOVNO - MATEMATIČKI FAKULTET</v>
      </c>
      <c r="M53" s="216">
        <v>2410</v>
      </c>
      <c r="N53" s="219" t="s">
        <v>484</v>
      </c>
      <c r="O53" s="220" t="s">
        <v>454</v>
      </c>
      <c r="P53" s="219" t="s">
        <v>1923</v>
      </c>
      <c r="Q53" s="219" t="s">
        <v>455</v>
      </c>
      <c r="R53" s="217">
        <v>3199622</v>
      </c>
      <c r="S53" s="213" t="s">
        <v>485</v>
      </c>
      <c r="T53" s="214" t="s">
        <v>49</v>
      </c>
      <c r="U53" s="215" t="s">
        <v>48</v>
      </c>
      <c r="V53" s="151"/>
      <c r="W53" s="151"/>
      <c r="X53" s="151"/>
      <c r="Y53" s="151"/>
      <c r="Z53" s="151"/>
      <c r="AA53" s="151"/>
      <c r="AB53" s="151"/>
    </row>
    <row r="54" spans="1:28" ht="15" hidden="1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218">
        <f t="shared" si="0"/>
        <v>48</v>
      </c>
      <c r="L54" s="216" t="str">
        <f t="shared" si="1"/>
        <v>2524SVEUČILIŠTE U SPLITU - SVEUČILIŠNA KNJIŽNICA</v>
      </c>
      <c r="M54" s="216">
        <v>2524</v>
      </c>
      <c r="N54" s="219" t="s">
        <v>486</v>
      </c>
      <c r="O54" s="220" t="s">
        <v>454</v>
      </c>
      <c r="P54" s="219" t="s">
        <v>487</v>
      </c>
      <c r="Q54" s="219" t="s">
        <v>455</v>
      </c>
      <c r="R54" s="217">
        <v>3118436</v>
      </c>
      <c r="S54" s="213" t="s">
        <v>488</v>
      </c>
      <c r="T54" s="214" t="s">
        <v>49</v>
      </c>
      <c r="U54" s="215" t="s">
        <v>48</v>
      </c>
      <c r="V54" s="151"/>
      <c r="W54" s="151"/>
      <c r="X54" s="151"/>
      <c r="Y54" s="151"/>
      <c r="Z54" s="151"/>
      <c r="AA54" s="151"/>
      <c r="AB54" s="151"/>
    </row>
    <row r="55" spans="1:28" ht="15" hidden="1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218">
        <f t="shared" si="0"/>
        <v>49</v>
      </c>
      <c r="L55" s="216" t="str">
        <f t="shared" si="1"/>
        <v>22478SVEUČILIŠTE U SPLITU - UMJETNIČKA AKADEMIJA</v>
      </c>
      <c r="M55" s="216">
        <v>22478</v>
      </c>
      <c r="N55" s="219" t="s">
        <v>489</v>
      </c>
      <c r="O55" s="220" t="s">
        <v>454</v>
      </c>
      <c r="P55" s="219" t="s">
        <v>490</v>
      </c>
      <c r="Q55" s="219" t="s">
        <v>455</v>
      </c>
      <c r="R55" s="217">
        <v>1321358</v>
      </c>
      <c r="S55" s="213" t="s">
        <v>491</v>
      </c>
      <c r="T55" s="214" t="s">
        <v>49</v>
      </c>
      <c r="U55" s="215" t="s">
        <v>48</v>
      </c>
      <c r="V55" s="151"/>
      <c r="W55" s="151"/>
      <c r="X55" s="151"/>
      <c r="Y55" s="151"/>
      <c r="Z55" s="151"/>
      <c r="AA55" s="151"/>
      <c r="AB55" s="151"/>
    </row>
    <row r="56" spans="1:28" ht="15" hidden="1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218">
        <f t="shared" si="0"/>
        <v>50</v>
      </c>
      <c r="L56" s="216" t="str">
        <f t="shared" si="1"/>
        <v>23815SVEUČILIŠTE U ZADRU</v>
      </c>
      <c r="M56" s="216">
        <v>23815</v>
      </c>
      <c r="N56" s="219" t="s">
        <v>410</v>
      </c>
      <c r="O56" s="220" t="s">
        <v>410</v>
      </c>
      <c r="P56" s="219" t="s">
        <v>1924</v>
      </c>
      <c r="Q56" s="219" t="s">
        <v>411</v>
      </c>
      <c r="R56" s="217">
        <v>1695525</v>
      </c>
      <c r="S56" s="213" t="s">
        <v>412</v>
      </c>
      <c r="T56" s="214" t="s">
        <v>49</v>
      </c>
      <c r="U56" s="215" t="s">
        <v>48</v>
      </c>
      <c r="V56" s="151"/>
      <c r="W56" s="151"/>
      <c r="X56" s="151"/>
      <c r="Y56" s="151"/>
      <c r="Z56" s="151"/>
      <c r="AA56" s="151"/>
      <c r="AB56" s="151"/>
    </row>
    <row r="57" spans="1:28" ht="15" hidden="1">
      <c r="A57" s="151"/>
      <c r="B57" s="151"/>
      <c r="C57" s="151"/>
      <c r="D57" s="151"/>
      <c r="E57" s="151"/>
      <c r="F57" s="151"/>
      <c r="G57" s="151"/>
      <c r="H57" s="151"/>
      <c r="I57" s="151"/>
      <c r="J57" s="151"/>
      <c r="K57" s="218">
        <f t="shared" si="0"/>
        <v>51</v>
      </c>
      <c r="L57" s="216" t="str">
        <f t="shared" si="1"/>
        <v>2436SVEUČILIŠTE U ZAGREBU</v>
      </c>
      <c r="M57" s="216">
        <v>2436</v>
      </c>
      <c r="N57" s="219" t="s">
        <v>492</v>
      </c>
      <c r="O57" s="220" t="s">
        <v>492</v>
      </c>
      <c r="P57" s="219" t="s">
        <v>560</v>
      </c>
      <c r="Q57" s="219" t="s">
        <v>370</v>
      </c>
      <c r="R57" s="217">
        <v>3211592</v>
      </c>
      <c r="S57" s="213" t="s">
        <v>493</v>
      </c>
      <c r="T57" s="214" t="s">
        <v>49</v>
      </c>
      <c r="U57" s="215" t="s">
        <v>48</v>
      </c>
      <c r="V57" s="151"/>
      <c r="W57" s="151"/>
      <c r="X57" s="151"/>
      <c r="Y57" s="151"/>
      <c r="Z57" s="151"/>
      <c r="AA57" s="151"/>
      <c r="AB57" s="151"/>
    </row>
    <row r="58" spans="1:28" ht="15" hidden="1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218">
        <f t="shared" si="0"/>
        <v>52</v>
      </c>
      <c r="L58" s="216" t="str">
        <f t="shared" si="1"/>
        <v>1923SVEUČILIŠTE U ZAGREBU - AGRONOMSKI FAKULTET</v>
      </c>
      <c r="M58" s="216">
        <v>1923</v>
      </c>
      <c r="N58" s="219" t="s">
        <v>494</v>
      </c>
      <c r="O58" s="220" t="s">
        <v>492</v>
      </c>
      <c r="P58" s="219" t="s">
        <v>495</v>
      </c>
      <c r="Q58" s="219" t="s">
        <v>370</v>
      </c>
      <c r="R58" s="217">
        <v>3283097</v>
      </c>
      <c r="S58" s="213" t="s">
        <v>496</v>
      </c>
      <c r="T58" s="214" t="s">
        <v>49</v>
      </c>
      <c r="U58" s="215" t="s">
        <v>48</v>
      </c>
      <c r="V58" s="151"/>
      <c r="W58" s="151"/>
      <c r="X58" s="151"/>
      <c r="Y58" s="151"/>
      <c r="Z58" s="151"/>
      <c r="AA58" s="151"/>
      <c r="AB58" s="151"/>
    </row>
    <row r="59" spans="1:28" ht="15" hidden="1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218">
        <f t="shared" si="0"/>
        <v>53</v>
      </c>
      <c r="L59" s="216" t="str">
        <f t="shared" si="1"/>
        <v>1974SVEUČILIŠTE U ZAGREBU - AKADEMIJA DRAMSKE UMJETNOSTI</v>
      </c>
      <c r="M59" s="216">
        <v>1974</v>
      </c>
      <c r="N59" s="219" t="s">
        <v>497</v>
      </c>
      <c r="O59" s="220" t="s">
        <v>492</v>
      </c>
      <c r="P59" s="219" t="s">
        <v>498</v>
      </c>
      <c r="Q59" s="219" t="s">
        <v>370</v>
      </c>
      <c r="R59" s="217">
        <v>3205029</v>
      </c>
      <c r="S59" s="213" t="s">
        <v>499</v>
      </c>
      <c r="T59" s="214" t="s">
        <v>49</v>
      </c>
      <c r="U59" s="215" t="s">
        <v>48</v>
      </c>
      <c r="V59" s="151"/>
      <c r="W59" s="151"/>
      <c r="X59" s="151"/>
      <c r="Y59" s="151"/>
      <c r="Z59" s="151"/>
      <c r="AA59" s="151"/>
      <c r="AB59" s="151"/>
    </row>
    <row r="60" spans="1:28" ht="15" hidden="1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218">
        <f t="shared" si="0"/>
        <v>54</v>
      </c>
      <c r="L60" s="216" t="str">
        <f t="shared" si="1"/>
        <v>1982SVEUČILIŠTE U ZAGREBU - AKADEMIJA LIKOVNIH UMJETNOSTI</v>
      </c>
      <c r="M60" s="216">
        <v>1982</v>
      </c>
      <c r="N60" s="219" t="s">
        <v>500</v>
      </c>
      <c r="O60" s="220" t="s">
        <v>492</v>
      </c>
      <c r="P60" s="219" t="s">
        <v>501</v>
      </c>
      <c r="Q60" s="219" t="s">
        <v>370</v>
      </c>
      <c r="R60" s="217">
        <v>3207919</v>
      </c>
      <c r="S60" s="213" t="s">
        <v>502</v>
      </c>
      <c r="T60" s="214" t="s">
        <v>49</v>
      </c>
      <c r="U60" s="215" t="s">
        <v>48</v>
      </c>
      <c r="V60" s="151"/>
      <c r="W60" s="151"/>
      <c r="X60" s="151"/>
      <c r="Y60" s="151"/>
      <c r="Z60" s="151"/>
      <c r="AA60" s="151"/>
      <c r="AB60" s="151"/>
    </row>
    <row r="61" spans="1:28" ht="15" hidden="1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218">
        <f t="shared" si="0"/>
        <v>55</v>
      </c>
      <c r="L61" s="216" t="str">
        <f t="shared" si="1"/>
        <v xml:space="preserve">1861SVEUČILIŠTE U ZAGREBU - ARHITEKTONSKI FAKULTET </v>
      </c>
      <c r="M61" s="216">
        <v>1861</v>
      </c>
      <c r="N61" s="219" t="s">
        <v>503</v>
      </c>
      <c r="O61" s="220" t="s">
        <v>492</v>
      </c>
      <c r="P61" s="219" t="s">
        <v>504</v>
      </c>
      <c r="Q61" s="219" t="s">
        <v>370</v>
      </c>
      <c r="R61" s="217">
        <v>3204952</v>
      </c>
      <c r="S61" s="213" t="s">
        <v>505</v>
      </c>
      <c r="T61" s="214" t="s">
        <v>49</v>
      </c>
      <c r="U61" s="215" t="s">
        <v>48</v>
      </c>
      <c r="V61" s="151"/>
      <c r="W61" s="151"/>
      <c r="X61" s="151"/>
      <c r="Y61" s="151"/>
      <c r="Z61" s="151"/>
      <c r="AA61" s="151"/>
      <c r="AB61" s="151"/>
    </row>
    <row r="62" spans="1:28" ht="15" hidden="1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218">
        <f t="shared" si="0"/>
        <v>56</v>
      </c>
      <c r="L62" s="216" t="str">
        <f t="shared" si="1"/>
        <v xml:space="preserve">1966SVEUČILIŠTE U ZAGREBU - EDUKACIJSKO-REHABILITACIJSKI FAKULTET </v>
      </c>
      <c r="M62" s="216">
        <v>1966</v>
      </c>
      <c r="N62" s="219" t="s">
        <v>506</v>
      </c>
      <c r="O62" s="220" t="s">
        <v>492</v>
      </c>
      <c r="P62" s="219" t="s">
        <v>507</v>
      </c>
      <c r="Q62" s="219" t="s">
        <v>370</v>
      </c>
      <c r="R62" s="217">
        <v>3219780</v>
      </c>
      <c r="S62" s="213" t="s">
        <v>508</v>
      </c>
      <c r="T62" s="214" t="s">
        <v>49</v>
      </c>
      <c r="U62" s="215" t="s">
        <v>48</v>
      </c>
      <c r="V62" s="151"/>
      <c r="W62" s="151"/>
      <c r="X62" s="151"/>
      <c r="Y62" s="151"/>
      <c r="Z62" s="151"/>
      <c r="AA62" s="151"/>
      <c r="AB62" s="151"/>
    </row>
    <row r="63" spans="1:28" ht="15" hidden="1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218">
        <f t="shared" si="0"/>
        <v>57</v>
      </c>
      <c r="L63" s="216" t="str">
        <f t="shared" si="1"/>
        <v>1931SVEUČILIŠTE U ZAGREBU - EKONOMSKI FAKULTET</v>
      </c>
      <c r="M63" s="216">
        <v>1931</v>
      </c>
      <c r="N63" s="219" t="s">
        <v>509</v>
      </c>
      <c r="O63" s="220" t="s">
        <v>492</v>
      </c>
      <c r="P63" s="219" t="s">
        <v>1925</v>
      </c>
      <c r="Q63" s="219" t="s">
        <v>370</v>
      </c>
      <c r="R63" s="217">
        <v>3272079</v>
      </c>
      <c r="S63" s="213" t="s">
        <v>510</v>
      </c>
      <c r="T63" s="214" t="s">
        <v>49</v>
      </c>
      <c r="U63" s="215" t="s">
        <v>48</v>
      </c>
      <c r="V63" s="151"/>
      <c r="W63" s="151"/>
      <c r="X63" s="151"/>
      <c r="Y63" s="151"/>
      <c r="Z63" s="151"/>
      <c r="AA63" s="151"/>
      <c r="AB63" s="151"/>
    </row>
    <row r="64" spans="1:28" ht="15" hidden="1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218">
        <f t="shared" si="0"/>
        <v>58</v>
      </c>
      <c r="L64" s="216" t="str">
        <f t="shared" si="1"/>
        <v>1757SVEUČILIŠTE U ZAGREBU - FAKULTET ELEKTROTEHNIKE I RAČUNARSTVA</v>
      </c>
      <c r="M64" s="216">
        <v>1757</v>
      </c>
      <c r="N64" s="221" t="s">
        <v>511</v>
      </c>
      <c r="O64" s="220" t="s">
        <v>492</v>
      </c>
      <c r="P64" s="221" t="s">
        <v>512</v>
      </c>
      <c r="Q64" s="221" t="s">
        <v>370</v>
      </c>
      <c r="R64" s="222">
        <v>3276643</v>
      </c>
      <c r="S64" s="213" t="s">
        <v>513</v>
      </c>
      <c r="T64" s="214" t="s">
        <v>49</v>
      </c>
      <c r="U64" s="215" t="s">
        <v>48</v>
      </c>
      <c r="V64" s="151"/>
      <c r="W64" s="151"/>
      <c r="X64" s="151"/>
      <c r="Y64" s="151"/>
      <c r="Z64" s="151"/>
      <c r="AA64" s="151"/>
      <c r="AB64" s="151"/>
    </row>
    <row r="65" spans="1:28" ht="15" hidden="1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218">
        <f t="shared" si="0"/>
        <v>59</v>
      </c>
      <c r="L65" s="216" t="str">
        <f t="shared" si="1"/>
        <v>6154SVEUČILIŠTE U ZAGREBU - FAKULTET FILOZOFIJE I RELIGIJSKIH ZNANOSTI</v>
      </c>
      <c r="M65" s="216">
        <v>6154</v>
      </c>
      <c r="N65" s="219" t="s">
        <v>1926</v>
      </c>
      <c r="O65" s="220" t="s">
        <v>492</v>
      </c>
      <c r="P65" s="219" t="s">
        <v>514</v>
      </c>
      <c r="Q65" s="219" t="s">
        <v>370</v>
      </c>
      <c r="R65" s="217">
        <v>1235664</v>
      </c>
      <c r="S65" s="213" t="s">
        <v>515</v>
      </c>
      <c r="T65" s="214" t="s">
        <v>49</v>
      </c>
      <c r="U65" s="215" t="s">
        <v>48</v>
      </c>
      <c r="V65" s="151"/>
      <c r="W65" s="151"/>
      <c r="X65" s="151"/>
      <c r="Y65" s="151"/>
      <c r="Z65" s="151"/>
      <c r="AA65" s="151"/>
      <c r="AB65" s="151"/>
    </row>
    <row r="66" spans="1:28" ht="15" hidden="1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218">
        <f t="shared" si="0"/>
        <v>60</v>
      </c>
      <c r="L66" s="216" t="str">
        <f t="shared" si="1"/>
        <v>51191SVEUČILIŠTE U ZAGREBU - FAKULTET HRVATSKIH STUDIJA</v>
      </c>
      <c r="M66" s="216">
        <v>51191</v>
      </c>
      <c r="N66" s="219" t="s">
        <v>1927</v>
      </c>
      <c r="O66" s="220" t="s">
        <v>492</v>
      </c>
      <c r="P66" s="219" t="s">
        <v>1928</v>
      </c>
      <c r="Q66" s="219" t="s">
        <v>370</v>
      </c>
      <c r="R66" s="217">
        <v>5214068</v>
      </c>
      <c r="S66" s="213" t="s">
        <v>1929</v>
      </c>
      <c r="T66" s="214" t="s">
        <v>49</v>
      </c>
      <c r="U66" s="215" t="s">
        <v>48</v>
      </c>
      <c r="V66" s="151"/>
      <c r="W66" s="151"/>
      <c r="X66" s="151"/>
      <c r="Y66" s="151"/>
      <c r="Z66" s="151"/>
      <c r="AA66" s="151"/>
      <c r="AB66" s="151"/>
    </row>
    <row r="67" spans="1:28" ht="15" hidden="1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218">
        <f t="shared" si="0"/>
        <v>61</v>
      </c>
      <c r="L67" s="216" t="str">
        <f t="shared" si="1"/>
        <v>1790SVEUČILIŠTE U ZAGREBU - FAKULTET KEMIJSKOG INŽENJERSTVA I TEHNOLOGIJE</v>
      </c>
      <c r="M67" s="216">
        <v>1790</v>
      </c>
      <c r="N67" s="219" t="s">
        <v>518</v>
      </c>
      <c r="O67" s="220" t="s">
        <v>492</v>
      </c>
      <c r="P67" s="219" t="s">
        <v>519</v>
      </c>
      <c r="Q67" s="219" t="s">
        <v>370</v>
      </c>
      <c r="R67" s="217">
        <v>3250270</v>
      </c>
      <c r="S67" s="213" t="s">
        <v>520</v>
      </c>
      <c r="T67" s="214" t="s">
        <v>49</v>
      </c>
      <c r="U67" s="215" t="s">
        <v>48</v>
      </c>
      <c r="V67" s="151"/>
      <c r="W67" s="151"/>
      <c r="X67" s="151"/>
      <c r="Y67" s="151"/>
      <c r="Z67" s="151"/>
      <c r="AA67" s="151"/>
      <c r="AB67" s="151"/>
    </row>
    <row r="68" spans="1:28" ht="15" hidden="1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218">
        <f t="shared" si="0"/>
        <v>62</v>
      </c>
      <c r="L68" s="216" t="str">
        <f t="shared" si="1"/>
        <v>1907SVEUČILIŠTE U ZAGREBU - FAKULTET POLITIČKIH ZNANOSTI</v>
      </c>
      <c r="M68" s="216">
        <v>1907</v>
      </c>
      <c r="N68" s="219" t="s">
        <v>521</v>
      </c>
      <c r="O68" s="220" t="s">
        <v>492</v>
      </c>
      <c r="P68" s="219" t="s">
        <v>522</v>
      </c>
      <c r="Q68" s="219" t="s">
        <v>370</v>
      </c>
      <c r="R68" s="217">
        <v>3270262</v>
      </c>
      <c r="S68" s="213" t="s">
        <v>523</v>
      </c>
      <c r="T68" s="214" t="s">
        <v>49</v>
      </c>
      <c r="U68" s="215" t="s">
        <v>48</v>
      </c>
      <c r="V68" s="151"/>
      <c r="W68" s="151"/>
      <c r="X68" s="151"/>
      <c r="Y68" s="151"/>
      <c r="Z68" s="151"/>
      <c r="AA68" s="151"/>
      <c r="AB68" s="151"/>
    </row>
    <row r="69" spans="1:28" ht="15" hidden="1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218">
        <f t="shared" si="0"/>
        <v>63</v>
      </c>
      <c r="L69" s="216" t="str">
        <f t="shared" si="1"/>
        <v>1812SVEUČILIŠTE U ZAGREBU - FAKULTET PROMETNIH ZNANOSTI</v>
      </c>
      <c r="M69" s="216">
        <v>1812</v>
      </c>
      <c r="N69" s="219" t="s">
        <v>524</v>
      </c>
      <c r="O69" s="220" t="s">
        <v>492</v>
      </c>
      <c r="P69" s="219" t="s">
        <v>525</v>
      </c>
      <c r="Q69" s="219" t="s">
        <v>370</v>
      </c>
      <c r="R69" s="217">
        <v>3260771</v>
      </c>
      <c r="S69" s="213" t="s">
        <v>526</v>
      </c>
      <c r="T69" s="214" t="s">
        <v>49</v>
      </c>
      <c r="U69" s="215" t="s">
        <v>48</v>
      </c>
      <c r="V69" s="151"/>
      <c r="W69" s="151"/>
      <c r="X69" s="151"/>
      <c r="Y69" s="151"/>
      <c r="Z69" s="151"/>
      <c r="AA69" s="151"/>
      <c r="AB69" s="151"/>
    </row>
    <row r="70" spans="1:28" ht="15" hidden="1">
      <c r="A70" s="151"/>
      <c r="B70" s="151"/>
      <c r="C70" s="151"/>
      <c r="D70" s="151"/>
      <c r="E70" s="151"/>
      <c r="F70" s="151"/>
      <c r="G70" s="151"/>
      <c r="H70" s="151"/>
      <c r="I70" s="151"/>
      <c r="J70" s="151"/>
      <c r="K70" s="218">
        <f t="shared" si="0"/>
        <v>64</v>
      </c>
      <c r="L70" s="216" t="str">
        <f t="shared" si="1"/>
        <v>1829SVEUČILIŠTE U ZAGREBU - FAKULTET STROJARSTVA I BRODOGRADNJE</v>
      </c>
      <c r="M70" s="216">
        <v>1829</v>
      </c>
      <c r="N70" s="219" t="s">
        <v>527</v>
      </c>
      <c r="O70" s="220" t="s">
        <v>492</v>
      </c>
      <c r="P70" s="219" t="s">
        <v>528</v>
      </c>
      <c r="Q70" s="219" t="s">
        <v>370</v>
      </c>
      <c r="R70" s="217">
        <v>3276546</v>
      </c>
      <c r="S70" s="213" t="s">
        <v>529</v>
      </c>
      <c r="T70" s="214" t="s">
        <v>49</v>
      </c>
      <c r="U70" s="215" t="s">
        <v>48</v>
      </c>
      <c r="V70" s="151"/>
      <c r="W70" s="151"/>
      <c r="X70" s="151"/>
      <c r="Y70" s="151"/>
      <c r="Z70" s="151"/>
      <c r="AA70" s="151"/>
      <c r="AB70" s="151"/>
    </row>
    <row r="71" spans="1:28" ht="15" hidden="1">
      <c r="A71" s="151"/>
      <c r="B71" s="151"/>
      <c r="C71" s="151"/>
      <c r="D71" s="151"/>
      <c r="E71" s="151"/>
      <c r="F71" s="151"/>
      <c r="G71" s="151"/>
      <c r="H71" s="151"/>
      <c r="I71" s="151"/>
      <c r="J71" s="151"/>
      <c r="K71" s="218">
        <f t="shared" ref="K71:K133" si="2">+K70+1</f>
        <v>65</v>
      </c>
      <c r="L71" s="216" t="str">
        <f t="shared" si="1"/>
        <v xml:space="preserve">2014SVEUČILIŠTE U ZAGREBU - FARMACEUTSKO-BIOKEMIJSKI FAKULTET </v>
      </c>
      <c r="M71" s="216">
        <v>2014</v>
      </c>
      <c r="N71" s="219" t="s">
        <v>530</v>
      </c>
      <c r="O71" s="220" t="s">
        <v>492</v>
      </c>
      <c r="P71" s="219" t="s">
        <v>531</v>
      </c>
      <c r="Q71" s="219" t="s">
        <v>370</v>
      </c>
      <c r="R71" s="217">
        <v>3205037</v>
      </c>
      <c r="S71" s="213" t="s">
        <v>532</v>
      </c>
      <c r="T71" s="214" t="s">
        <v>49</v>
      </c>
      <c r="U71" s="215" t="s">
        <v>48</v>
      </c>
      <c r="V71" s="151"/>
      <c r="W71" s="151"/>
      <c r="X71" s="151"/>
      <c r="Y71" s="151"/>
      <c r="Z71" s="151"/>
      <c r="AA71" s="151"/>
      <c r="AB71" s="151"/>
    </row>
    <row r="72" spans="1:28" ht="15" hidden="1">
      <c r="A72" s="151"/>
      <c r="B72" s="151"/>
      <c r="C72" s="151"/>
      <c r="D72" s="151"/>
      <c r="E72" s="151"/>
      <c r="F72" s="151"/>
      <c r="G72" s="151"/>
      <c r="H72" s="151"/>
      <c r="I72" s="151"/>
      <c r="J72" s="151"/>
      <c r="K72" s="218">
        <f t="shared" si="2"/>
        <v>66</v>
      </c>
      <c r="L72" s="216" t="str">
        <f t="shared" ref="L72:L135" si="3">M72&amp;""&amp;N72</f>
        <v>1958SVEUČILIŠTE U ZAGREBU - FILOZOFSKI FAKULTET</v>
      </c>
      <c r="M72" s="216">
        <v>1958</v>
      </c>
      <c r="N72" s="219" t="s">
        <v>533</v>
      </c>
      <c r="O72" s="220" t="s">
        <v>492</v>
      </c>
      <c r="P72" s="219" t="s">
        <v>534</v>
      </c>
      <c r="Q72" s="219" t="s">
        <v>370</v>
      </c>
      <c r="R72" s="217">
        <v>3254852</v>
      </c>
      <c r="S72" s="213" t="s">
        <v>535</v>
      </c>
      <c r="T72" s="214" t="s">
        <v>49</v>
      </c>
      <c r="U72" s="215" t="s">
        <v>48</v>
      </c>
      <c r="V72" s="151"/>
      <c r="W72" s="151"/>
      <c r="X72" s="151"/>
      <c r="Y72" s="151"/>
      <c r="Z72" s="151"/>
      <c r="AA72" s="151"/>
      <c r="AB72" s="151"/>
    </row>
    <row r="73" spans="1:28" ht="15" hidden="1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218">
        <f t="shared" si="2"/>
        <v>67</v>
      </c>
      <c r="L73" s="216" t="str">
        <f t="shared" si="3"/>
        <v>1853SVEUČILIŠTE U ZAGREBU - GEODETSKI FAKULTET</v>
      </c>
      <c r="M73" s="216">
        <v>1853</v>
      </c>
      <c r="N73" s="219" t="s">
        <v>536</v>
      </c>
      <c r="O73" s="220" t="s">
        <v>492</v>
      </c>
      <c r="P73" s="219" t="s">
        <v>1930</v>
      </c>
      <c r="Q73" s="219" t="s">
        <v>370</v>
      </c>
      <c r="R73" s="217">
        <v>3204987</v>
      </c>
      <c r="S73" s="213" t="s">
        <v>537</v>
      </c>
      <c r="T73" s="214" t="s">
        <v>49</v>
      </c>
      <c r="U73" s="215" t="s">
        <v>48</v>
      </c>
      <c r="V73" s="151"/>
      <c r="W73" s="151"/>
      <c r="X73" s="151"/>
      <c r="Y73" s="151"/>
      <c r="Z73" s="151"/>
      <c r="AA73" s="151"/>
      <c r="AB73" s="151"/>
    </row>
    <row r="74" spans="1:28" ht="15" hidden="1">
      <c r="A74" s="151"/>
      <c r="B74" s="151"/>
      <c r="C74" s="151"/>
      <c r="D74" s="151"/>
      <c r="E74" s="151"/>
      <c r="F74" s="151"/>
      <c r="G74" s="151"/>
      <c r="H74" s="151"/>
      <c r="I74" s="151"/>
      <c r="J74" s="151"/>
      <c r="K74" s="218">
        <f t="shared" si="2"/>
        <v>68</v>
      </c>
      <c r="L74" s="216" t="str">
        <f t="shared" si="3"/>
        <v>2102SVEUČILIŠTE U ZAGREBU - GEOTEHNIČKI FAKULTET</v>
      </c>
      <c r="M74" s="216">
        <v>2102</v>
      </c>
      <c r="N74" s="219" t="s">
        <v>538</v>
      </c>
      <c r="O74" s="220" t="s">
        <v>492</v>
      </c>
      <c r="P74" s="219" t="s">
        <v>539</v>
      </c>
      <c r="Q74" s="219" t="s">
        <v>540</v>
      </c>
      <c r="R74" s="217">
        <v>3042316</v>
      </c>
      <c r="S74" s="213" t="s">
        <v>541</v>
      </c>
      <c r="T74" s="214" t="s">
        <v>49</v>
      </c>
      <c r="U74" s="215" t="s">
        <v>48</v>
      </c>
      <c r="V74" s="151"/>
      <c r="W74" s="151"/>
      <c r="X74" s="151"/>
      <c r="Y74" s="151"/>
      <c r="Z74" s="151"/>
      <c r="AA74" s="151"/>
      <c r="AB74" s="151"/>
    </row>
    <row r="75" spans="1:28" ht="15" hidden="1">
      <c r="A75" s="151"/>
      <c r="B75" s="151"/>
      <c r="C75" s="151"/>
      <c r="D75" s="151"/>
      <c r="E75" s="151"/>
      <c r="F75" s="151"/>
      <c r="G75" s="151"/>
      <c r="H75" s="151"/>
      <c r="I75" s="151"/>
      <c r="J75" s="151"/>
      <c r="K75" s="218">
        <f t="shared" si="2"/>
        <v>69</v>
      </c>
      <c r="L75" s="216" t="str">
        <f t="shared" si="3"/>
        <v>1837SVEUČILIŠTE U ZAGREBU - GRAĐEVINSKI FAKULTET</v>
      </c>
      <c r="M75" s="216">
        <v>1837</v>
      </c>
      <c r="N75" s="219" t="s">
        <v>542</v>
      </c>
      <c r="O75" s="220" t="s">
        <v>492</v>
      </c>
      <c r="P75" s="219" t="s">
        <v>543</v>
      </c>
      <c r="Q75" s="219" t="s">
        <v>370</v>
      </c>
      <c r="R75" s="217">
        <v>3227120</v>
      </c>
      <c r="S75" s="213" t="s">
        <v>544</v>
      </c>
      <c r="T75" s="214" t="s">
        <v>49</v>
      </c>
      <c r="U75" s="215" t="s">
        <v>48</v>
      </c>
      <c r="V75" s="151"/>
      <c r="W75" s="151"/>
      <c r="X75" s="151"/>
      <c r="Y75" s="151"/>
      <c r="Z75" s="151"/>
      <c r="AA75" s="151"/>
      <c r="AB75" s="151"/>
    </row>
    <row r="76" spans="1:28" ht="15" hidden="1">
      <c r="A76" s="151"/>
      <c r="B76" s="151"/>
      <c r="C76" s="151"/>
      <c r="D76" s="151"/>
      <c r="E76" s="151"/>
      <c r="F76" s="151"/>
      <c r="G76" s="151"/>
      <c r="H76" s="151"/>
      <c r="I76" s="151"/>
      <c r="J76" s="151"/>
      <c r="K76" s="218">
        <f t="shared" si="2"/>
        <v>70</v>
      </c>
      <c r="L76" s="216" t="str">
        <f t="shared" si="3"/>
        <v>2080SVEUČILIŠTE U ZAGREBU - GRAFIČKI FAKULTET</v>
      </c>
      <c r="M76" s="216">
        <v>2080</v>
      </c>
      <c r="N76" s="219" t="s">
        <v>545</v>
      </c>
      <c r="O76" s="220" t="s">
        <v>492</v>
      </c>
      <c r="P76" s="219" t="s">
        <v>546</v>
      </c>
      <c r="Q76" s="219" t="s">
        <v>370</v>
      </c>
      <c r="R76" s="217">
        <v>3219763</v>
      </c>
      <c r="S76" s="213" t="s">
        <v>547</v>
      </c>
      <c r="T76" s="214" t="s">
        <v>49</v>
      </c>
      <c r="U76" s="215" t="s">
        <v>48</v>
      </c>
      <c r="V76" s="151"/>
      <c r="W76" s="151"/>
      <c r="X76" s="151"/>
      <c r="Y76" s="151"/>
      <c r="Z76" s="151"/>
      <c r="AA76" s="151"/>
      <c r="AB76" s="151"/>
    </row>
    <row r="77" spans="1:28" ht="15" hidden="1">
      <c r="A77" s="151"/>
      <c r="B77" s="151"/>
      <c r="C77" s="151"/>
      <c r="D77" s="151"/>
      <c r="E77" s="151"/>
      <c r="F77" s="151"/>
      <c r="G77" s="151"/>
      <c r="H77" s="151"/>
      <c r="I77" s="151"/>
      <c r="J77" s="151"/>
      <c r="K77" s="218">
        <f t="shared" si="2"/>
        <v>71</v>
      </c>
      <c r="L77" s="216" t="str">
        <f t="shared" si="3"/>
        <v xml:space="preserve">2135SVEUČILIŠTE U ZAGREBU - KATOLIČKI BOGOSLOVNI FAKULTET </v>
      </c>
      <c r="M77" s="216">
        <v>2135</v>
      </c>
      <c r="N77" s="219" t="s">
        <v>516</v>
      </c>
      <c r="O77" s="220" t="s">
        <v>492</v>
      </c>
      <c r="P77" s="219" t="s">
        <v>517</v>
      </c>
      <c r="Q77" s="219" t="s">
        <v>370</v>
      </c>
      <c r="R77" s="217">
        <v>3703088</v>
      </c>
      <c r="S77" s="213">
        <v>48987767944</v>
      </c>
      <c r="T77" s="214" t="s">
        <v>49</v>
      </c>
      <c r="U77" s="215" t="s">
        <v>48</v>
      </c>
      <c r="V77" s="151"/>
      <c r="W77" s="151"/>
      <c r="X77" s="151"/>
      <c r="Y77" s="151"/>
      <c r="Z77" s="151"/>
      <c r="AA77" s="151"/>
      <c r="AB77" s="151"/>
    </row>
    <row r="78" spans="1:28" ht="15" hidden="1">
      <c r="A78" s="151"/>
      <c r="B78" s="151"/>
      <c r="C78" s="151"/>
      <c r="D78" s="151"/>
      <c r="E78" s="151"/>
      <c r="F78" s="151"/>
      <c r="G78" s="151"/>
      <c r="H78" s="151"/>
      <c r="I78" s="151"/>
      <c r="J78" s="151"/>
      <c r="K78" s="218">
        <f t="shared" si="2"/>
        <v>72</v>
      </c>
      <c r="L78" s="216" t="str">
        <f t="shared" si="3"/>
        <v>2006SVEUČILIŠTE U ZAGREBU - KINEZIOLOŠKI FAKULTET</v>
      </c>
      <c r="M78" s="216">
        <v>2006</v>
      </c>
      <c r="N78" s="219" t="s">
        <v>548</v>
      </c>
      <c r="O78" s="220" t="s">
        <v>492</v>
      </c>
      <c r="P78" s="219" t="s">
        <v>549</v>
      </c>
      <c r="Q78" s="219" t="s">
        <v>370</v>
      </c>
      <c r="R78" s="217">
        <v>3274080</v>
      </c>
      <c r="S78" s="213" t="s">
        <v>550</v>
      </c>
      <c r="T78" s="214" t="s">
        <v>49</v>
      </c>
      <c r="U78" s="215" t="s">
        <v>48</v>
      </c>
      <c r="V78" s="151"/>
      <c r="W78" s="151"/>
      <c r="X78" s="151"/>
      <c r="Y78" s="151"/>
      <c r="Z78" s="151"/>
      <c r="AA78" s="151"/>
      <c r="AB78" s="151"/>
    </row>
    <row r="79" spans="1:28" ht="15" hidden="1">
      <c r="A79" s="151"/>
      <c r="B79" s="151"/>
      <c r="C79" s="151"/>
      <c r="D79" s="151"/>
      <c r="E79" s="151"/>
      <c r="F79" s="151"/>
      <c r="G79" s="151"/>
      <c r="H79" s="151"/>
      <c r="I79" s="151"/>
      <c r="J79" s="151"/>
      <c r="K79" s="218">
        <f t="shared" si="2"/>
        <v>73</v>
      </c>
      <c r="L79" s="216" t="str">
        <f t="shared" si="3"/>
        <v>1888SVEUČILIŠTE U ZAGREBU - MEDICINSKI FAKULTET</v>
      </c>
      <c r="M79" s="216">
        <v>1888</v>
      </c>
      <c r="N79" s="219" t="s">
        <v>551</v>
      </c>
      <c r="O79" s="220" t="s">
        <v>492</v>
      </c>
      <c r="P79" s="219" t="s">
        <v>552</v>
      </c>
      <c r="Q79" s="219" t="s">
        <v>370</v>
      </c>
      <c r="R79" s="217">
        <v>3270211</v>
      </c>
      <c r="S79" s="213" t="s">
        <v>553</v>
      </c>
      <c r="T79" s="214" t="s">
        <v>49</v>
      </c>
      <c r="U79" s="215" t="s">
        <v>48</v>
      </c>
      <c r="V79" s="151"/>
      <c r="W79" s="151"/>
      <c r="X79" s="151"/>
      <c r="Y79" s="151"/>
      <c r="Z79" s="151"/>
      <c r="AA79" s="151"/>
      <c r="AB79" s="151"/>
    </row>
    <row r="80" spans="1:28" ht="15" hidden="1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218">
        <f t="shared" si="2"/>
        <v>74</v>
      </c>
      <c r="L80" s="216" t="str">
        <f t="shared" si="3"/>
        <v>2071SVEUČILIŠTE U ZAGREBU - METALURŠKI FAKULTET SISAK</v>
      </c>
      <c r="M80" s="216">
        <v>2071</v>
      </c>
      <c r="N80" s="219" t="s">
        <v>554</v>
      </c>
      <c r="O80" s="220" t="s">
        <v>492</v>
      </c>
      <c r="P80" s="219" t="s">
        <v>555</v>
      </c>
      <c r="Q80" s="219" t="s">
        <v>1931</v>
      </c>
      <c r="R80" s="217">
        <v>3313786</v>
      </c>
      <c r="S80" s="213" t="s">
        <v>556</v>
      </c>
      <c r="T80" s="214" t="s">
        <v>49</v>
      </c>
      <c r="U80" s="215" t="s">
        <v>48</v>
      </c>
      <c r="V80" s="151"/>
      <c r="W80" s="151"/>
      <c r="X80" s="151"/>
      <c r="Y80" s="151"/>
      <c r="Z80" s="151"/>
      <c r="AA80" s="151"/>
      <c r="AB80" s="151"/>
    </row>
    <row r="81" spans="1:28" ht="15" hidden="1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218">
        <f t="shared" si="2"/>
        <v>75</v>
      </c>
      <c r="L81" s="216" t="str">
        <f t="shared" si="3"/>
        <v>1999SVEUČILIŠTE U ZAGREBU - MUZIČKA AKADEMIJA</v>
      </c>
      <c r="M81" s="216">
        <v>1999</v>
      </c>
      <c r="N81" s="219" t="s">
        <v>557</v>
      </c>
      <c r="O81" s="220" t="s">
        <v>492</v>
      </c>
      <c r="P81" s="219" t="s">
        <v>1932</v>
      </c>
      <c r="Q81" s="219" t="s">
        <v>370</v>
      </c>
      <c r="R81" s="217">
        <v>3205002</v>
      </c>
      <c r="S81" s="213" t="s">
        <v>558</v>
      </c>
      <c r="T81" s="214" t="s">
        <v>49</v>
      </c>
      <c r="U81" s="215" t="s">
        <v>48</v>
      </c>
      <c r="V81" s="151"/>
      <c r="W81" s="151"/>
      <c r="X81" s="151"/>
      <c r="Y81" s="151"/>
      <c r="Z81" s="151"/>
      <c r="AA81" s="151"/>
      <c r="AB81" s="151"/>
    </row>
    <row r="82" spans="1:28" ht="15" hidden="1">
      <c r="A82" s="151"/>
      <c r="B82" s="151"/>
      <c r="C82" s="151"/>
      <c r="D82" s="151"/>
      <c r="E82" s="151"/>
      <c r="F82" s="151"/>
      <c r="G82" s="151"/>
      <c r="H82" s="151"/>
      <c r="I82" s="151"/>
      <c r="J82" s="151"/>
      <c r="K82" s="218">
        <f t="shared" si="2"/>
        <v>76</v>
      </c>
      <c r="L82" s="216" t="str">
        <f t="shared" si="3"/>
        <v>1915SVEUČILIŠTE U ZAGREBU - PRAVNI FAKULTET</v>
      </c>
      <c r="M82" s="224">
        <v>1915</v>
      </c>
      <c r="N82" s="219" t="s">
        <v>559</v>
      </c>
      <c r="O82" s="220" t="s">
        <v>492</v>
      </c>
      <c r="P82" s="219" t="s">
        <v>560</v>
      </c>
      <c r="Q82" s="219" t="s">
        <v>370</v>
      </c>
      <c r="R82" s="217">
        <v>3225909</v>
      </c>
      <c r="S82" s="213" t="s">
        <v>561</v>
      </c>
      <c r="T82" s="214" t="s">
        <v>49</v>
      </c>
      <c r="U82" s="215" t="s">
        <v>48</v>
      </c>
      <c r="V82" s="151"/>
      <c r="W82" s="151"/>
      <c r="X82" s="151"/>
      <c r="Y82" s="151"/>
      <c r="Z82" s="151"/>
      <c r="AA82" s="151"/>
      <c r="AB82" s="151"/>
    </row>
    <row r="83" spans="1:28" ht="15" hidden="1">
      <c r="A83" s="151"/>
      <c r="B83" s="151"/>
      <c r="C83" s="151"/>
      <c r="D83" s="151"/>
      <c r="E83" s="151"/>
      <c r="F83" s="151"/>
      <c r="G83" s="151"/>
      <c r="H83" s="151"/>
      <c r="I83" s="151"/>
      <c r="J83" s="151"/>
      <c r="K83" s="218">
        <f t="shared" si="2"/>
        <v>77</v>
      </c>
      <c r="L83" s="216" t="str">
        <f t="shared" si="3"/>
        <v>1845SVEUČILIŠTE U ZAGREBU - PREHRAMBENO BIOTEHNOLOŠKI FAKULTET</v>
      </c>
      <c r="M83" s="216">
        <v>1845</v>
      </c>
      <c r="N83" s="219" t="s">
        <v>562</v>
      </c>
      <c r="O83" s="220" t="s">
        <v>492</v>
      </c>
      <c r="P83" s="219" t="s">
        <v>568</v>
      </c>
      <c r="Q83" s="219" t="s">
        <v>370</v>
      </c>
      <c r="R83" s="217">
        <v>3207102</v>
      </c>
      <c r="S83" s="213" t="s">
        <v>563</v>
      </c>
      <c r="T83" s="214" t="s">
        <v>49</v>
      </c>
      <c r="U83" s="215" t="s">
        <v>48</v>
      </c>
      <c r="V83" s="151"/>
      <c r="W83" s="151"/>
      <c r="X83" s="151"/>
      <c r="Y83" s="151"/>
      <c r="Z83" s="151"/>
      <c r="AA83" s="151"/>
      <c r="AB83" s="151"/>
    </row>
    <row r="84" spans="1:28" ht="15" hidden="1">
      <c r="A84" s="151"/>
      <c r="B84" s="151"/>
      <c r="C84" s="151"/>
      <c r="D84" s="151"/>
      <c r="E84" s="151"/>
      <c r="F84" s="151"/>
      <c r="G84" s="151"/>
      <c r="H84" s="151"/>
      <c r="I84" s="151"/>
      <c r="J84" s="151"/>
      <c r="K84" s="218">
        <f t="shared" si="2"/>
        <v>78</v>
      </c>
      <c r="L84" s="216" t="str">
        <f t="shared" si="3"/>
        <v>1781SVEUČILIŠTE U ZAGREBU - PRIRODOSLOVNO-MATEMATIČKI FAKULTET</v>
      </c>
      <c r="M84" s="216">
        <v>1781</v>
      </c>
      <c r="N84" s="219" t="s">
        <v>564</v>
      </c>
      <c r="O84" s="220" t="s">
        <v>492</v>
      </c>
      <c r="P84" s="219" t="s">
        <v>565</v>
      </c>
      <c r="Q84" s="219" t="s">
        <v>370</v>
      </c>
      <c r="R84" s="217">
        <v>3270149</v>
      </c>
      <c r="S84" s="213" t="s">
        <v>566</v>
      </c>
      <c r="T84" s="214" t="s">
        <v>49</v>
      </c>
      <c r="U84" s="215" t="s">
        <v>48</v>
      </c>
      <c r="V84" s="151"/>
      <c r="W84" s="151"/>
      <c r="X84" s="151"/>
      <c r="Y84" s="151"/>
      <c r="Z84" s="151"/>
      <c r="AA84" s="151"/>
      <c r="AB84" s="151"/>
    </row>
    <row r="85" spans="1:28" ht="15" hidden="1">
      <c r="A85" s="151"/>
      <c r="B85" s="151"/>
      <c r="C85" s="151"/>
      <c r="D85" s="151"/>
      <c r="E85" s="151"/>
      <c r="F85" s="151"/>
      <c r="G85" s="151"/>
      <c r="H85" s="151"/>
      <c r="I85" s="151"/>
      <c r="J85" s="151"/>
      <c r="K85" s="218">
        <f t="shared" si="2"/>
        <v>79</v>
      </c>
      <c r="L85" s="216" t="str">
        <f t="shared" si="3"/>
        <v>2047SVEUČILIŠTE U ZAGREBU - RUDARSKO-GEOLOŠKO-NAFTNI FAKULTET</v>
      </c>
      <c r="M85" s="216">
        <v>2047</v>
      </c>
      <c r="N85" s="219" t="s">
        <v>567</v>
      </c>
      <c r="O85" s="220" t="s">
        <v>492</v>
      </c>
      <c r="P85" s="225" t="s">
        <v>568</v>
      </c>
      <c r="Q85" s="225" t="s">
        <v>370</v>
      </c>
      <c r="R85" s="217">
        <v>3207005</v>
      </c>
      <c r="S85" s="213" t="s">
        <v>569</v>
      </c>
      <c r="T85" s="214" t="s">
        <v>49</v>
      </c>
      <c r="U85" s="215" t="s">
        <v>48</v>
      </c>
      <c r="V85" s="151"/>
      <c r="W85" s="151"/>
      <c r="X85" s="151"/>
      <c r="Y85" s="151"/>
      <c r="Z85" s="151"/>
      <c r="AA85" s="151"/>
      <c r="AB85" s="151"/>
    </row>
    <row r="86" spans="1:28" ht="15" hidden="1">
      <c r="A86" s="151"/>
      <c r="B86" s="151"/>
      <c r="C86" s="151"/>
      <c r="D86" s="151"/>
      <c r="E86" s="151"/>
      <c r="F86" s="151"/>
      <c r="G86" s="151"/>
      <c r="H86" s="151"/>
      <c r="I86" s="151"/>
      <c r="J86" s="151"/>
      <c r="K86" s="218">
        <f t="shared" si="2"/>
        <v>80</v>
      </c>
      <c r="L86" s="216" t="str">
        <f t="shared" si="3"/>
        <v>1870SVEUČILIŠTE U ZAGREBU - STOMATOLOŠKI FAKULTET</v>
      </c>
      <c r="M86" s="216">
        <v>1870</v>
      </c>
      <c r="N86" s="219" t="s">
        <v>570</v>
      </c>
      <c r="O86" s="220" t="s">
        <v>492</v>
      </c>
      <c r="P86" s="219" t="s">
        <v>571</v>
      </c>
      <c r="Q86" s="219" t="s">
        <v>370</v>
      </c>
      <c r="R86" s="217">
        <v>3204995</v>
      </c>
      <c r="S86" s="213" t="s">
        <v>572</v>
      </c>
      <c r="T86" s="214" t="s">
        <v>49</v>
      </c>
      <c r="U86" s="215" t="s">
        <v>48</v>
      </c>
      <c r="V86" s="151"/>
      <c r="W86" s="151"/>
      <c r="X86" s="151"/>
      <c r="Y86" s="151"/>
      <c r="Z86" s="151"/>
      <c r="AA86" s="151"/>
      <c r="AB86" s="151"/>
    </row>
    <row r="87" spans="1:28" ht="15" hidden="1">
      <c r="A87" s="151"/>
      <c r="B87" s="151"/>
      <c r="C87" s="151"/>
      <c r="D87" s="151"/>
      <c r="E87" s="151"/>
      <c r="F87" s="151"/>
      <c r="G87" s="151"/>
      <c r="H87" s="151"/>
      <c r="I87" s="151"/>
      <c r="J87" s="151"/>
      <c r="K87" s="218">
        <f t="shared" si="2"/>
        <v>81</v>
      </c>
      <c r="L87" s="216" t="str">
        <f t="shared" si="3"/>
        <v>1896SVEUČILIŠTE U ZAGREBU - FAKULTET ŠUMARSTVA I DRVNE TEHNOLOGIJE</v>
      </c>
      <c r="M87" s="216">
        <v>1896</v>
      </c>
      <c r="N87" s="219" t="s">
        <v>1978</v>
      </c>
      <c r="O87" s="220" t="s">
        <v>492</v>
      </c>
      <c r="P87" s="219" t="s">
        <v>495</v>
      </c>
      <c r="Q87" s="219" t="s">
        <v>370</v>
      </c>
      <c r="R87" s="217">
        <v>3281485</v>
      </c>
      <c r="S87" s="213" t="s">
        <v>573</v>
      </c>
      <c r="T87" s="214" t="s">
        <v>49</v>
      </c>
      <c r="U87" s="215" t="s">
        <v>48</v>
      </c>
      <c r="V87" s="151"/>
      <c r="W87" s="151"/>
      <c r="X87" s="151"/>
      <c r="Y87" s="151"/>
      <c r="Z87" s="151"/>
      <c r="AA87" s="151"/>
      <c r="AB87" s="151"/>
    </row>
    <row r="88" spans="1:28" ht="15" hidden="1">
      <c r="A88" s="151"/>
      <c r="B88" s="151"/>
      <c r="C88" s="151"/>
      <c r="D88" s="151"/>
      <c r="E88" s="151"/>
      <c r="F88" s="151"/>
      <c r="G88" s="151"/>
      <c r="H88" s="151"/>
      <c r="I88" s="151"/>
      <c r="J88" s="151"/>
      <c r="K88" s="218">
        <f t="shared" si="2"/>
        <v>82</v>
      </c>
      <c r="L88" s="216" t="str">
        <f t="shared" si="3"/>
        <v>1804SVEUČILIŠTE U ZAGREBU - TEKSTILNO TEHNOLOŠKI FAKULTET</v>
      </c>
      <c r="M88" s="216">
        <v>1804</v>
      </c>
      <c r="N88" s="219" t="s">
        <v>574</v>
      </c>
      <c r="O88" s="220" t="s">
        <v>492</v>
      </c>
      <c r="P88" s="219" t="s">
        <v>575</v>
      </c>
      <c r="Q88" s="219" t="s">
        <v>370</v>
      </c>
      <c r="R88" s="217">
        <v>3207064</v>
      </c>
      <c r="S88" s="213" t="s">
        <v>576</v>
      </c>
      <c r="T88" s="214" t="s">
        <v>49</v>
      </c>
      <c r="U88" s="215" t="s">
        <v>48</v>
      </c>
      <c r="V88" s="151"/>
      <c r="W88" s="151"/>
      <c r="X88" s="151"/>
      <c r="Y88" s="151"/>
      <c r="Z88" s="151"/>
      <c r="AA88" s="151"/>
      <c r="AB88" s="151"/>
    </row>
    <row r="89" spans="1:28" ht="15" hidden="1">
      <c r="A89" s="151"/>
      <c r="B89" s="151"/>
      <c r="C89" s="151"/>
      <c r="D89" s="151"/>
      <c r="E89" s="151"/>
      <c r="F89" s="151"/>
      <c r="G89" s="151"/>
      <c r="H89" s="151"/>
      <c r="I89" s="151"/>
      <c r="J89" s="151"/>
      <c r="K89" s="218">
        <f t="shared" si="2"/>
        <v>83</v>
      </c>
      <c r="L89" s="216" t="str">
        <f t="shared" si="3"/>
        <v>1940SVEUČILIŠTE U ZAGREBU - UČITELJSKI FAKULTET</v>
      </c>
      <c r="M89" s="216">
        <v>1940</v>
      </c>
      <c r="N89" s="219" t="s">
        <v>577</v>
      </c>
      <c r="O89" s="220" t="s">
        <v>492</v>
      </c>
      <c r="P89" s="219" t="s">
        <v>578</v>
      </c>
      <c r="Q89" s="219" t="s">
        <v>370</v>
      </c>
      <c r="R89" s="217">
        <v>1422545</v>
      </c>
      <c r="S89" s="213" t="s">
        <v>579</v>
      </c>
      <c r="T89" s="214" t="s">
        <v>49</v>
      </c>
      <c r="U89" s="215" t="s">
        <v>48</v>
      </c>
      <c r="V89" s="151"/>
      <c r="W89" s="151"/>
      <c r="X89" s="151"/>
      <c r="Y89" s="151"/>
      <c r="Z89" s="151"/>
      <c r="AA89" s="151"/>
      <c r="AB89" s="151"/>
    </row>
    <row r="90" spans="1:28" ht="15" hidden="1">
      <c r="A90" s="151"/>
      <c r="B90" s="151"/>
      <c r="C90" s="151"/>
      <c r="D90" s="151"/>
      <c r="E90" s="151"/>
      <c r="F90" s="151"/>
      <c r="G90" s="151"/>
      <c r="H90" s="151"/>
      <c r="I90" s="151"/>
      <c r="J90" s="151"/>
      <c r="K90" s="218">
        <f t="shared" si="2"/>
        <v>84</v>
      </c>
      <c r="L90" s="216" t="str">
        <f t="shared" si="3"/>
        <v>2022SVEUČILIŠTE U ZAGREBU - VETERINARSKI FAKULTET</v>
      </c>
      <c r="M90" s="216">
        <v>2022</v>
      </c>
      <c r="N90" s="219" t="s">
        <v>580</v>
      </c>
      <c r="O90" s="220" t="s">
        <v>492</v>
      </c>
      <c r="P90" s="219" t="s">
        <v>581</v>
      </c>
      <c r="Q90" s="219" t="s">
        <v>370</v>
      </c>
      <c r="R90" s="217">
        <v>3225755</v>
      </c>
      <c r="S90" s="213" t="s">
        <v>582</v>
      </c>
      <c r="T90" s="214" t="s">
        <v>49</v>
      </c>
      <c r="U90" s="215" t="s">
        <v>48</v>
      </c>
      <c r="V90" s="151"/>
      <c r="W90" s="151"/>
      <c r="X90" s="151"/>
      <c r="Y90" s="151"/>
      <c r="Z90" s="151"/>
      <c r="AA90" s="151"/>
      <c r="AB90" s="151"/>
    </row>
    <row r="91" spans="1:28" ht="15" hidden="1">
      <c r="A91" s="151"/>
      <c r="B91" s="151"/>
      <c r="C91" s="151"/>
      <c r="D91" s="151"/>
      <c r="E91" s="151"/>
      <c r="F91" s="151"/>
      <c r="G91" s="151"/>
      <c r="H91" s="151"/>
      <c r="I91" s="151"/>
      <c r="J91" s="151"/>
      <c r="K91" s="218">
        <f t="shared" si="2"/>
        <v>85</v>
      </c>
      <c r="L91" s="216" t="str">
        <f t="shared" si="3"/>
        <v>22427TEHNIČKO VELEUČILIŠTE U ZAGREBU</v>
      </c>
      <c r="M91" s="216">
        <v>22427</v>
      </c>
      <c r="N91" s="219" t="s">
        <v>591</v>
      </c>
      <c r="O91" s="220" t="s">
        <v>587</v>
      </c>
      <c r="P91" s="219" t="s">
        <v>592</v>
      </c>
      <c r="Q91" s="219" t="s">
        <v>370</v>
      </c>
      <c r="R91" s="217">
        <v>1398270</v>
      </c>
      <c r="S91" s="213" t="s">
        <v>593</v>
      </c>
      <c r="T91" s="214" t="s">
        <v>49</v>
      </c>
      <c r="U91" s="215" t="s">
        <v>48</v>
      </c>
      <c r="V91" s="151"/>
      <c r="W91" s="151"/>
      <c r="X91" s="151"/>
      <c r="Y91" s="151"/>
      <c r="Z91" s="151"/>
      <c r="AA91" s="151"/>
      <c r="AB91" s="151"/>
    </row>
    <row r="92" spans="1:28" ht="15" hidden="1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218">
        <f t="shared" si="2"/>
        <v>86</v>
      </c>
      <c r="L92" s="216" t="str">
        <f t="shared" si="3"/>
        <v>50848VELEUČILIŠTE HRVATSKO ZAGORJE KRAPINA</v>
      </c>
      <c r="M92" s="216">
        <v>50848</v>
      </c>
      <c r="N92" s="219" t="s">
        <v>1933</v>
      </c>
      <c r="O92" s="220" t="s">
        <v>587</v>
      </c>
      <c r="P92" s="219" t="s">
        <v>1934</v>
      </c>
      <c r="Q92" s="219" t="s">
        <v>1935</v>
      </c>
      <c r="R92" s="217">
        <v>2271354</v>
      </c>
      <c r="S92" s="213" t="s">
        <v>1936</v>
      </c>
      <c r="T92" s="214" t="s">
        <v>49</v>
      </c>
      <c r="U92" s="215" t="s">
        <v>48</v>
      </c>
      <c r="V92" s="151"/>
      <c r="W92" s="151"/>
      <c r="X92" s="151"/>
      <c r="Y92" s="151"/>
      <c r="Z92" s="151"/>
      <c r="AA92" s="151"/>
      <c r="AB92" s="151"/>
    </row>
    <row r="93" spans="1:28" ht="15" hidden="1">
      <c r="A93" s="151"/>
      <c r="B93" s="151"/>
      <c r="C93" s="151"/>
      <c r="D93" s="151"/>
      <c r="E93" s="151"/>
      <c r="F93" s="151"/>
      <c r="G93" s="151"/>
      <c r="H93" s="151"/>
      <c r="I93" s="151"/>
      <c r="J93" s="151"/>
      <c r="K93" s="218">
        <f t="shared" si="2"/>
        <v>87</v>
      </c>
      <c r="L93" s="216" t="str">
        <f t="shared" si="3"/>
        <v>38446VELEUČILIŠTE LAVOSLAV RUŽIČKA U VUKOVARU</v>
      </c>
      <c r="M93" s="216">
        <v>38446</v>
      </c>
      <c r="N93" s="219" t="s">
        <v>594</v>
      </c>
      <c r="O93" s="220" t="s">
        <v>587</v>
      </c>
      <c r="P93" s="219" t="s">
        <v>595</v>
      </c>
      <c r="Q93" s="219" t="s">
        <v>596</v>
      </c>
      <c r="R93" s="217">
        <v>1970828</v>
      </c>
      <c r="S93" s="213" t="s">
        <v>597</v>
      </c>
      <c r="T93" s="214" t="s">
        <v>49</v>
      </c>
      <c r="U93" s="215" t="s">
        <v>48</v>
      </c>
      <c r="V93" s="151"/>
      <c r="W93" s="151"/>
      <c r="X93" s="151"/>
      <c r="Y93" s="151"/>
      <c r="Z93" s="151"/>
      <c r="AA93" s="151"/>
      <c r="AB93" s="151"/>
    </row>
    <row r="94" spans="1:28" ht="15" hidden="1">
      <c r="A94" s="151"/>
      <c r="B94" s="151"/>
      <c r="C94" s="151"/>
      <c r="D94" s="151"/>
      <c r="E94" s="151"/>
      <c r="F94" s="151"/>
      <c r="G94" s="151"/>
      <c r="H94" s="151"/>
      <c r="I94" s="151"/>
      <c r="J94" s="151"/>
      <c r="K94" s="218">
        <f t="shared" si="2"/>
        <v>88</v>
      </c>
      <c r="L94" s="216" t="str">
        <f t="shared" si="3"/>
        <v>38438VELEUČILIŠTE MARKO MARULIĆ U KNINU</v>
      </c>
      <c r="M94" s="216">
        <v>38438</v>
      </c>
      <c r="N94" s="219" t="s">
        <v>598</v>
      </c>
      <c r="O94" s="220" t="s">
        <v>587</v>
      </c>
      <c r="P94" s="219" t="s">
        <v>599</v>
      </c>
      <c r="Q94" s="219" t="s">
        <v>600</v>
      </c>
      <c r="R94" s="217">
        <v>1963813</v>
      </c>
      <c r="S94" s="213" t="s">
        <v>601</v>
      </c>
      <c r="T94" s="214" t="s">
        <v>49</v>
      </c>
      <c r="U94" s="215" t="s">
        <v>48</v>
      </c>
      <c r="V94" s="151"/>
      <c r="W94" s="151"/>
      <c r="X94" s="151"/>
      <c r="Y94" s="151"/>
      <c r="Z94" s="151"/>
      <c r="AA94" s="151"/>
      <c r="AB94" s="151"/>
    </row>
    <row r="95" spans="1:28" ht="15" hidden="1">
      <c r="A95" s="151"/>
      <c r="B95" s="151"/>
      <c r="C95" s="151"/>
      <c r="D95" s="151"/>
      <c r="E95" s="151"/>
      <c r="F95" s="151"/>
      <c r="G95" s="151"/>
      <c r="H95" s="151"/>
      <c r="I95" s="151"/>
      <c r="J95" s="151"/>
      <c r="K95" s="218">
        <f t="shared" si="2"/>
        <v>89</v>
      </c>
      <c r="L95" s="216" t="str">
        <f t="shared" si="3"/>
        <v>41185VELEUČILIŠTE NIKOLA TESLA U GOSPIĆU</v>
      </c>
      <c r="M95" s="216">
        <v>41185</v>
      </c>
      <c r="N95" s="219" t="s">
        <v>602</v>
      </c>
      <c r="O95" s="220" t="s">
        <v>587</v>
      </c>
      <c r="P95" s="219" t="s">
        <v>603</v>
      </c>
      <c r="Q95" s="219" t="s">
        <v>604</v>
      </c>
      <c r="R95" s="223">
        <v>2103133</v>
      </c>
      <c r="S95" s="213" t="s">
        <v>605</v>
      </c>
      <c r="T95" s="214" t="s">
        <v>49</v>
      </c>
      <c r="U95" s="215" t="s">
        <v>48</v>
      </c>
      <c r="V95" s="151"/>
      <c r="W95" s="151"/>
      <c r="X95" s="151"/>
      <c r="Y95" s="151"/>
      <c r="Z95" s="151"/>
      <c r="AA95" s="151"/>
      <c r="AB95" s="151"/>
    </row>
    <row r="96" spans="1:28" ht="15" hidden="1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218">
        <f t="shared" si="2"/>
        <v>90</v>
      </c>
      <c r="L96" s="216" t="str">
        <f t="shared" si="3"/>
        <v>21053VELEUČILIŠTE U KARLOVCU</v>
      </c>
      <c r="M96" s="216">
        <v>21053</v>
      </c>
      <c r="N96" s="219" t="s">
        <v>606</v>
      </c>
      <c r="O96" s="220" t="s">
        <v>587</v>
      </c>
      <c r="P96" s="219" t="s">
        <v>607</v>
      </c>
      <c r="Q96" s="219" t="s">
        <v>608</v>
      </c>
      <c r="R96" s="217">
        <v>1286030</v>
      </c>
      <c r="S96" s="213" t="s">
        <v>609</v>
      </c>
      <c r="T96" s="214" t="s">
        <v>49</v>
      </c>
      <c r="U96" s="215" t="s">
        <v>48</v>
      </c>
      <c r="V96" s="151"/>
      <c r="W96" s="151"/>
      <c r="X96" s="151"/>
      <c r="Y96" s="151"/>
      <c r="Z96" s="151"/>
      <c r="AA96" s="151"/>
      <c r="AB96" s="151"/>
    </row>
    <row r="97" spans="1:28" ht="15" hidden="1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218">
        <f t="shared" si="2"/>
        <v>91</v>
      </c>
      <c r="L97" s="216" t="str">
        <f t="shared" si="3"/>
        <v>22398VELEUČILIŠTE U POŽEGI</v>
      </c>
      <c r="M97" s="216">
        <v>22398</v>
      </c>
      <c r="N97" s="219" t="s">
        <v>610</v>
      </c>
      <c r="O97" s="220" t="s">
        <v>587</v>
      </c>
      <c r="P97" s="219" t="s">
        <v>611</v>
      </c>
      <c r="Q97" s="219" t="s">
        <v>612</v>
      </c>
      <c r="R97" s="217">
        <v>1395521</v>
      </c>
      <c r="S97" s="213" t="s">
        <v>613</v>
      </c>
      <c r="T97" s="214" t="s">
        <v>49</v>
      </c>
      <c r="U97" s="215" t="s">
        <v>48</v>
      </c>
      <c r="V97" s="151"/>
      <c r="W97" s="151"/>
      <c r="X97" s="151"/>
      <c r="Y97" s="151"/>
      <c r="Z97" s="151"/>
      <c r="AA97" s="151"/>
      <c r="AB97" s="151"/>
    </row>
    <row r="98" spans="1:28" ht="15" hidden="1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218">
        <f t="shared" si="2"/>
        <v>92</v>
      </c>
      <c r="L98" s="216" t="str">
        <f t="shared" si="3"/>
        <v>22494VELEUČILIŠTE U RIJECI</v>
      </c>
      <c r="M98" s="216">
        <v>22494</v>
      </c>
      <c r="N98" s="219" t="s">
        <v>614</v>
      </c>
      <c r="O98" s="220" t="s">
        <v>587</v>
      </c>
      <c r="P98" s="219" t="s">
        <v>615</v>
      </c>
      <c r="Q98" s="219" t="s">
        <v>415</v>
      </c>
      <c r="R98" s="217">
        <v>1387332</v>
      </c>
      <c r="S98" s="213" t="s">
        <v>616</v>
      </c>
      <c r="T98" s="214" t="s">
        <v>49</v>
      </c>
      <c r="U98" s="215" t="s">
        <v>48</v>
      </c>
      <c r="V98" s="151"/>
      <c r="W98" s="151"/>
      <c r="X98" s="151"/>
      <c r="Y98" s="151"/>
      <c r="Z98" s="151"/>
      <c r="AA98" s="151"/>
      <c r="AB98" s="151"/>
    </row>
    <row r="99" spans="1:28" ht="15" hidden="1">
      <c r="A99" s="151"/>
      <c r="B99" s="151"/>
      <c r="C99" s="151"/>
      <c r="D99" s="151"/>
      <c r="E99" s="151"/>
      <c r="F99" s="151"/>
      <c r="G99" s="151"/>
      <c r="H99" s="151"/>
      <c r="I99" s="151"/>
      <c r="J99" s="151"/>
      <c r="K99" s="218">
        <f t="shared" si="2"/>
        <v>93</v>
      </c>
      <c r="L99" s="216" t="str">
        <f t="shared" si="3"/>
        <v>22824VELEUČILIŠTE U ŠIBENIKU</v>
      </c>
      <c r="M99" s="216">
        <v>22824</v>
      </c>
      <c r="N99" s="219" t="s">
        <v>617</v>
      </c>
      <c r="O99" s="220" t="s">
        <v>587</v>
      </c>
      <c r="P99" s="219" t="s">
        <v>618</v>
      </c>
      <c r="Q99" s="219" t="s">
        <v>619</v>
      </c>
      <c r="R99" s="217">
        <v>2100673</v>
      </c>
      <c r="S99" s="213" t="s">
        <v>620</v>
      </c>
      <c r="T99" s="214" t="s">
        <v>49</v>
      </c>
      <c r="U99" s="215" t="s">
        <v>48</v>
      </c>
      <c r="V99" s="151"/>
      <c r="W99" s="151"/>
      <c r="X99" s="151"/>
      <c r="Y99" s="151"/>
      <c r="Z99" s="151"/>
      <c r="AA99" s="151"/>
      <c r="AB99" s="151"/>
    </row>
    <row r="100" spans="1:28" ht="15" hidden="1">
      <c r="A100" s="151"/>
      <c r="B100" s="151"/>
      <c r="C100" s="151"/>
      <c r="D100" s="151"/>
      <c r="E100" s="151"/>
      <c r="F100" s="151"/>
      <c r="G100" s="151"/>
      <c r="H100" s="151"/>
      <c r="I100" s="151"/>
      <c r="J100" s="151"/>
      <c r="K100" s="218">
        <f t="shared" si="2"/>
        <v>94</v>
      </c>
      <c r="L100" s="216" t="str">
        <f t="shared" si="3"/>
        <v>42993VELEUČILIŠTE U VIROVITICI</v>
      </c>
      <c r="M100" s="216">
        <v>42993</v>
      </c>
      <c r="N100" s="219" t="s">
        <v>1979</v>
      </c>
      <c r="O100" s="220" t="s">
        <v>587</v>
      </c>
      <c r="P100" s="219" t="s">
        <v>621</v>
      </c>
      <c r="Q100" s="219" t="s">
        <v>622</v>
      </c>
      <c r="R100" s="217">
        <v>2282208</v>
      </c>
      <c r="S100" s="213" t="s">
        <v>623</v>
      </c>
      <c r="T100" s="214" t="s">
        <v>49</v>
      </c>
      <c r="U100" s="215" t="s">
        <v>48</v>
      </c>
      <c r="V100" s="151"/>
      <c r="W100" s="151"/>
      <c r="X100" s="151"/>
      <c r="Y100" s="151"/>
      <c r="Z100" s="151"/>
      <c r="AA100" s="151"/>
      <c r="AB100" s="151"/>
    </row>
    <row r="101" spans="1:28" ht="15" hidden="1">
      <c r="A101" s="151"/>
      <c r="B101" s="151"/>
      <c r="C101" s="151"/>
      <c r="D101" s="151"/>
      <c r="E101" s="151"/>
      <c r="F101" s="151"/>
      <c r="G101" s="151"/>
      <c r="H101" s="151"/>
      <c r="I101" s="151"/>
      <c r="J101" s="151"/>
      <c r="K101" s="218">
        <f t="shared" si="2"/>
        <v>95</v>
      </c>
      <c r="L101" s="216" t="str">
        <f t="shared" si="3"/>
        <v>22371VISOKO GOSPODARSKO UČILIŠTE U KRIŽEVCIMA</v>
      </c>
      <c r="M101" s="216">
        <v>22371</v>
      </c>
      <c r="N101" s="219" t="s">
        <v>624</v>
      </c>
      <c r="O101" s="220" t="s">
        <v>587</v>
      </c>
      <c r="P101" s="219" t="s">
        <v>625</v>
      </c>
      <c r="Q101" s="219" t="s">
        <v>626</v>
      </c>
      <c r="R101" s="217">
        <v>1411942</v>
      </c>
      <c r="S101" s="213" t="s">
        <v>627</v>
      </c>
      <c r="T101" s="214" t="s">
        <v>49</v>
      </c>
      <c r="U101" s="215" t="s">
        <v>48</v>
      </c>
      <c r="V101" s="151"/>
      <c r="W101" s="151"/>
      <c r="X101" s="151"/>
      <c r="Y101" s="151"/>
      <c r="Z101" s="151"/>
      <c r="AA101" s="151"/>
      <c r="AB101" s="151"/>
    </row>
    <row r="102" spans="1:28" ht="15" hidden="1">
      <c r="A102" s="151"/>
      <c r="B102" s="151"/>
      <c r="C102" s="151"/>
      <c r="D102" s="151"/>
      <c r="E102" s="151"/>
      <c r="F102" s="151"/>
      <c r="G102" s="151"/>
      <c r="H102" s="151"/>
      <c r="I102" s="151"/>
      <c r="J102" s="151"/>
      <c r="K102" s="218">
        <f t="shared" si="2"/>
        <v>96</v>
      </c>
      <c r="L102" s="216" t="str">
        <f t="shared" si="3"/>
        <v>22832ZDRAVSTVENO VELEUČILIŠTE</v>
      </c>
      <c r="M102" s="216">
        <v>22832</v>
      </c>
      <c r="N102" s="219" t="s">
        <v>628</v>
      </c>
      <c r="O102" s="220" t="s">
        <v>587</v>
      </c>
      <c r="P102" s="219" t="s">
        <v>629</v>
      </c>
      <c r="Q102" s="219" t="s">
        <v>370</v>
      </c>
      <c r="R102" s="217">
        <v>1274597</v>
      </c>
      <c r="S102" s="213" t="s">
        <v>630</v>
      </c>
      <c r="T102" s="214" t="s">
        <v>49</v>
      </c>
      <c r="U102" s="215" t="s">
        <v>48</v>
      </c>
      <c r="V102" s="151"/>
      <c r="W102" s="151"/>
      <c r="X102" s="151"/>
      <c r="Y102" s="151"/>
      <c r="Z102" s="151"/>
      <c r="AA102" s="151"/>
      <c r="AB102" s="151"/>
    </row>
    <row r="103" spans="1:28" ht="15" hidden="1">
      <c r="A103" s="151"/>
      <c r="B103" s="151"/>
      <c r="C103" s="151"/>
      <c r="D103" s="151"/>
      <c r="E103" s="151"/>
      <c r="F103" s="151"/>
      <c r="G103" s="151"/>
      <c r="H103" s="151"/>
      <c r="I103" s="151"/>
      <c r="J103" s="151"/>
      <c r="K103" s="218">
        <f t="shared" si="2"/>
        <v>97</v>
      </c>
      <c r="L103" s="216" t="str">
        <f t="shared" si="3"/>
        <v>2918EKONOMSKI INSTITUT ZAGREB</v>
      </c>
      <c r="M103" s="216">
        <v>2918</v>
      </c>
      <c r="N103" s="219" t="s">
        <v>632</v>
      </c>
      <c r="O103" s="220" t="s">
        <v>587</v>
      </c>
      <c r="P103" s="219" t="s">
        <v>633</v>
      </c>
      <c r="Q103" s="219" t="s">
        <v>370</v>
      </c>
      <c r="R103" s="217">
        <v>3219925</v>
      </c>
      <c r="S103" s="213" t="s">
        <v>634</v>
      </c>
      <c r="T103" s="214" t="s">
        <v>755</v>
      </c>
      <c r="U103" s="215" t="s">
        <v>631</v>
      </c>
      <c r="V103" s="151"/>
      <c r="W103" s="151"/>
      <c r="X103" s="151"/>
      <c r="Y103" s="151"/>
      <c r="Z103" s="151"/>
      <c r="AA103" s="151"/>
      <c r="AB103" s="151"/>
    </row>
    <row r="104" spans="1:28" ht="15" hidden="1">
      <c r="A104" s="151"/>
      <c r="B104" s="151"/>
      <c r="C104" s="151"/>
      <c r="D104" s="151"/>
      <c r="E104" s="151"/>
      <c r="F104" s="151"/>
      <c r="G104" s="151"/>
      <c r="H104" s="151"/>
      <c r="I104" s="151"/>
      <c r="J104" s="151"/>
      <c r="K104" s="218">
        <f t="shared" si="2"/>
        <v>98</v>
      </c>
      <c r="L104" s="216" t="str">
        <f t="shared" si="3"/>
        <v xml:space="preserve">22525HRVATSKI GEOLOŠKI INSTITUT </v>
      </c>
      <c r="M104" s="216">
        <v>22525</v>
      </c>
      <c r="N104" s="219" t="s">
        <v>662</v>
      </c>
      <c r="O104" s="220" t="s">
        <v>587</v>
      </c>
      <c r="P104" s="219" t="s">
        <v>663</v>
      </c>
      <c r="Q104" s="219" t="s">
        <v>370</v>
      </c>
      <c r="R104" s="217">
        <v>3219518</v>
      </c>
      <c r="S104" s="213" t="s">
        <v>664</v>
      </c>
      <c r="T104" s="214" t="s">
        <v>755</v>
      </c>
      <c r="U104" s="215" t="s">
        <v>631</v>
      </c>
      <c r="V104" s="151"/>
      <c r="W104" s="151"/>
      <c r="X104" s="151"/>
      <c r="Y104" s="151"/>
      <c r="Z104" s="151"/>
      <c r="AA104" s="151"/>
      <c r="AB104" s="151"/>
    </row>
    <row r="105" spans="1:28" ht="15" hidden="1">
      <c r="A105" s="151"/>
      <c r="B105" s="151"/>
      <c r="C105" s="151"/>
      <c r="D105" s="151"/>
      <c r="E105" s="151"/>
      <c r="F105" s="151"/>
      <c r="G105" s="151"/>
      <c r="H105" s="151"/>
      <c r="I105" s="151"/>
      <c r="J105" s="151"/>
      <c r="K105" s="218">
        <f t="shared" si="2"/>
        <v>99</v>
      </c>
      <c r="L105" s="216" t="str">
        <f t="shared" si="3"/>
        <v>2934HRVATSKI INSTITUT ZA POVIJEST</v>
      </c>
      <c r="M105" s="216">
        <v>2934</v>
      </c>
      <c r="N105" s="219" t="s">
        <v>635</v>
      </c>
      <c r="O105" s="220" t="s">
        <v>587</v>
      </c>
      <c r="P105" s="219" t="s">
        <v>636</v>
      </c>
      <c r="Q105" s="219" t="s">
        <v>370</v>
      </c>
      <c r="R105" s="217">
        <v>3207153</v>
      </c>
      <c r="S105" s="213" t="s">
        <v>637</v>
      </c>
      <c r="T105" s="214" t="s">
        <v>755</v>
      </c>
      <c r="U105" s="215" t="s">
        <v>631</v>
      </c>
      <c r="V105" s="151"/>
      <c r="W105" s="151"/>
      <c r="X105" s="151"/>
      <c r="Y105" s="151"/>
      <c r="Z105" s="151"/>
      <c r="AA105" s="151"/>
      <c r="AB105" s="151"/>
    </row>
    <row r="106" spans="1:28" ht="15" hidden="1">
      <c r="A106" s="151"/>
      <c r="B106" s="151"/>
      <c r="C106" s="151"/>
      <c r="D106" s="151"/>
      <c r="E106" s="151"/>
      <c r="F106" s="151"/>
      <c r="G106" s="151"/>
      <c r="H106" s="151"/>
      <c r="I106" s="151"/>
      <c r="J106" s="151"/>
      <c r="K106" s="218">
        <f t="shared" si="2"/>
        <v>100</v>
      </c>
      <c r="L106" s="216" t="str">
        <f t="shared" si="3"/>
        <v>2967HRVATSKI ŠUMARSKI INSTITUT</v>
      </c>
      <c r="M106" s="216">
        <v>2967</v>
      </c>
      <c r="N106" s="219" t="s">
        <v>697</v>
      </c>
      <c r="O106" s="220" t="s">
        <v>587</v>
      </c>
      <c r="P106" s="219" t="s">
        <v>698</v>
      </c>
      <c r="Q106" s="219" t="s">
        <v>699</v>
      </c>
      <c r="R106" s="217">
        <v>3115879</v>
      </c>
      <c r="S106" s="213" t="s">
        <v>700</v>
      </c>
      <c r="T106" s="214" t="s">
        <v>755</v>
      </c>
      <c r="U106" s="215" t="s">
        <v>631</v>
      </c>
      <c r="V106" s="151"/>
      <c r="W106" s="151"/>
      <c r="X106" s="151"/>
      <c r="Y106" s="151"/>
      <c r="Z106" s="151"/>
      <c r="AA106" s="151"/>
      <c r="AB106" s="151"/>
    </row>
    <row r="107" spans="1:28" ht="15" hidden="1">
      <c r="A107" s="151"/>
      <c r="B107" s="151"/>
      <c r="C107" s="151"/>
      <c r="D107" s="151"/>
      <c r="E107" s="151"/>
      <c r="F107" s="151"/>
      <c r="G107" s="151"/>
      <c r="H107" s="151"/>
      <c r="I107" s="151"/>
      <c r="J107" s="151"/>
      <c r="K107" s="218">
        <f t="shared" si="2"/>
        <v>101</v>
      </c>
      <c r="L107" s="216" t="str">
        <f t="shared" si="3"/>
        <v>2983HRVATSKI VETERINARSKI INSTITUT</v>
      </c>
      <c r="M107" s="216">
        <v>2983</v>
      </c>
      <c r="N107" s="219" t="s">
        <v>638</v>
      </c>
      <c r="O107" s="220" t="s">
        <v>587</v>
      </c>
      <c r="P107" s="219" t="s">
        <v>639</v>
      </c>
      <c r="Q107" s="219" t="s">
        <v>370</v>
      </c>
      <c r="R107" s="217">
        <v>3274098</v>
      </c>
      <c r="S107" s="213" t="s">
        <v>640</v>
      </c>
      <c r="T107" s="214" t="s">
        <v>755</v>
      </c>
      <c r="U107" s="215" t="s">
        <v>631</v>
      </c>
      <c r="V107" s="151"/>
      <c r="W107" s="151"/>
      <c r="X107" s="151"/>
      <c r="Y107" s="151"/>
      <c r="Z107" s="151"/>
      <c r="AA107" s="151"/>
      <c r="AB107" s="151"/>
    </row>
    <row r="108" spans="1:28" ht="15" hidden="1">
      <c r="A108" s="151"/>
      <c r="B108" s="151"/>
      <c r="C108" s="151"/>
      <c r="D108" s="151"/>
      <c r="E108" s="151"/>
      <c r="F108" s="151"/>
      <c r="G108" s="151"/>
      <c r="H108" s="151"/>
      <c r="I108" s="151"/>
      <c r="J108" s="151"/>
      <c r="K108" s="218">
        <f t="shared" si="2"/>
        <v>102</v>
      </c>
      <c r="L108" s="216" t="str">
        <f t="shared" si="3"/>
        <v>3105INSTITUT DRUŠTVENIH ZNANOSTI IVO PILAR</v>
      </c>
      <c r="M108" s="216">
        <v>3105</v>
      </c>
      <c r="N108" s="219" t="s">
        <v>641</v>
      </c>
      <c r="O108" s="220" t="s">
        <v>587</v>
      </c>
      <c r="P108" s="219" t="s">
        <v>642</v>
      </c>
      <c r="Q108" s="219" t="s">
        <v>370</v>
      </c>
      <c r="R108" s="217">
        <v>3793028</v>
      </c>
      <c r="S108" s="213" t="s">
        <v>643</v>
      </c>
      <c r="T108" s="214" t="s">
        <v>755</v>
      </c>
      <c r="U108" s="215" t="s">
        <v>631</v>
      </c>
      <c r="V108" s="151"/>
      <c r="W108" s="151"/>
      <c r="X108" s="151"/>
      <c r="Y108" s="151"/>
      <c r="Z108" s="151"/>
      <c r="AA108" s="151"/>
      <c r="AB108" s="151"/>
    </row>
    <row r="109" spans="1:28" ht="15" hidden="1">
      <c r="A109" s="151"/>
      <c r="B109" s="151"/>
      <c r="C109" s="151"/>
      <c r="D109" s="151"/>
      <c r="E109" s="151"/>
      <c r="F109" s="151"/>
      <c r="G109" s="151"/>
      <c r="H109" s="151"/>
      <c r="I109" s="151"/>
      <c r="J109" s="151"/>
      <c r="K109" s="218">
        <f t="shared" si="2"/>
        <v>103</v>
      </c>
      <c r="L109" s="216" t="str">
        <f t="shared" si="3"/>
        <v>3041INSTITUT RUĐER BOŠKOVIĆ</v>
      </c>
      <c r="M109" s="216">
        <v>3041</v>
      </c>
      <c r="N109" s="219" t="s">
        <v>644</v>
      </c>
      <c r="O109" s="220" t="s">
        <v>587</v>
      </c>
      <c r="P109" s="219" t="s">
        <v>645</v>
      </c>
      <c r="Q109" s="219" t="s">
        <v>370</v>
      </c>
      <c r="R109" s="217">
        <v>3270289</v>
      </c>
      <c r="S109" s="213" t="s">
        <v>646</v>
      </c>
      <c r="T109" s="214" t="s">
        <v>755</v>
      </c>
      <c r="U109" s="215" t="s">
        <v>631</v>
      </c>
      <c r="V109" s="151"/>
      <c r="W109" s="151"/>
      <c r="X109" s="151"/>
      <c r="Y109" s="151"/>
      <c r="Z109" s="151"/>
      <c r="AA109" s="151"/>
      <c r="AB109" s="151"/>
    </row>
    <row r="110" spans="1:28" ht="15" hidden="1">
      <c r="A110" s="151"/>
      <c r="B110" s="151"/>
      <c r="C110" s="151"/>
      <c r="D110" s="151"/>
      <c r="E110" s="151"/>
      <c r="F110" s="151"/>
      <c r="G110" s="151"/>
      <c r="H110" s="151"/>
      <c r="I110" s="151"/>
      <c r="J110" s="151"/>
      <c r="K110" s="218">
        <f t="shared" si="2"/>
        <v>104</v>
      </c>
      <c r="L110" s="216" t="str">
        <f t="shared" si="3"/>
        <v>3113INSTITUT ZA ANTROPOLOGIJU</v>
      </c>
      <c r="M110" s="216">
        <v>3113</v>
      </c>
      <c r="N110" s="219" t="s">
        <v>647</v>
      </c>
      <c r="O110" s="220" t="s">
        <v>587</v>
      </c>
      <c r="P110" s="219" t="s">
        <v>648</v>
      </c>
      <c r="Q110" s="219" t="s">
        <v>370</v>
      </c>
      <c r="R110" s="217">
        <v>3817121</v>
      </c>
      <c r="S110" s="213" t="s">
        <v>649</v>
      </c>
      <c r="T110" s="214" t="s">
        <v>755</v>
      </c>
      <c r="U110" s="215" t="s">
        <v>631</v>
      </c>
      <c r="V110" s="151"/>
      <c r="W110" s="151"/>
      <c r="X110" s="151"/>
      <c r="Y110" s="151"/>
      <c r="Z110" s="151"/>
      <c r="AA110" s="151"/>
      <c r="AB110" s="151"/>
    </row>
    <row r="111" spans="1:28" ht="15" hidden="1">
      <c r="A111" s="151"/>
      <c r="B111" s="151"/>
      <c r="C111" s="151"/>
      <c r="D111" s="151"/>
      <c r="E111" s="151"/>
      <c r="F111" s="151"/>
      <c r="G111" s="151"/>
      <c r="H111" s="151"/>
      <c r="I111" s="151"/>
      <c r="J111" s="151"/>
      <c r="K111" s="218">
        <f t="shared" si="2"/>
        <v>105</v>
      </c>
      <c r="L111" s="216" t="str">
        <f t="shared" si="3"/>
        <v>3121INSTITUT ZA ARHEOLOGIJU</v>
      </c>
      <c r="M111" s="216">
        <v>3121</v>
      </c>
      <c r="N111" s="219" t="s">
        <v>650</v>
      </c>
      <c r="O111" s="220" t="s">
        <v>587</v>
      </c>
      <c r="P111" s="219" t="s">
        <v>648</v>
      </c>
      <c r="Q111" s="219" t="s">
        <v>370</v>
      </c>
      <c r="R111" s="217">
        <v>3937658</v>
      </c>
      <c r="S111" s="213" t="s">
        <v>651</v>
      </c>
      <c r="T111" s="214" t="s">
        <v>755</v>
      </c>
      <c r="U111" s="215" t="s">
        <v>631</v>
      </c>
      <c r="V111" s="151"/>
      <c r="W111" s="151"/>
      <c r="X111" s="151"/>
      <c r="Y111" s="151"/>
      <c r="Z111" s="151"/>
      <c r="AA111" s="151"/>
      <c r="AB111" s="151"/>
    </row>
    <row r="112" spans="1:28" ht="15" hidden="1">
      <c r="A112" s="151"/>
      <c r="B112" s="151"/>
      <c r="C112" s="151"/>
      <c r="D112" s="151"/>
      <c r="E112" s="151"/>
      <c r="F112" s="151"/>
      <c r="G112" s="151"/>
      <c r="H112" s="151"/>
      <c r="I112" s="151"/>
      <c r="J112" s="151"/>
      <c r="K112" s="218">
        <f t="shared" si="2"/>
        <v>106</v>
      </c>
      <c r="L112" s="216" t="str">
        <f t="shared" si="3"/>
        <v>3050INSTITUT ZA DRUŠTVENA ISTRAŽIVANJA</v>
      </c>
      <c r="M112" s="216">
        <v>3050</v>
      </c>
      <c r="N112" s="219" t="s">
        <v>652</v>
      </c>
      <c r="O112" s="220" t="s">
        <v>587</v>
      </c>
      <c r="P112" s="219" t="s">
        <v>653</v>
      </c>
      <c r="Q112" s="219" t="s">
        <v>370</v>
      </c>
      <c r="R112" s="217">
        <v>3205118</v>
      </c>
      <c r="S112" s="213" t="s">
        <v>654</v>
      </c>
      <c r="T112" s="214" t="s">
        <v>755</v>
      </c>
      <c r="U112" s="215" t="s">
        <v>631</v>
      </c>
      <c r="V112" s="151"/>
      <c r="W112" s="151"/>
      <c r="X112" s="151"/>
      <c r="Y112" s="151"/>
      <c r="Z112" s="151"/>
      <c r="AA112" s="151"/>
      <c r="AB112" s="151"/>
    </row>
    <row r="113" spans="1:28" ht="15" hidden="1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218">
        <f t="shared" si="2"/>
        <v>107</v>
      </c>
      <c r="L113" s="216" t="str">
        <f t="shared" si="3"/>
        <v>3084INSTITUT ZA ETNOLOGIJU I FOLKLORISTIKU</v>
      </c>
      <c r="M113" s="216">
        <v>3084</v>
      </c>
      <c r="N113" s="219" t="s">
        <v>655</v>
      </c>
      <c r="O113" s="220" t="s">
        <v>587</v>
      </c>
      <c r="P113" s="219" t="s">
        <v>656</v>
      </c>
      <c r="Q113" s="219" t="s">
        <v>370</v>
      </c>
      <c r="R113" s="217">
        <v>3724042</v>
      </c>
      <c r="S113" s="213" t="s">
        <v>657</v>
      </c>
      <c r="T113" s="214" t="s">
        <v>755</v>
      </c>
      <c r="U113" s="215" t="s">
        <v>631</v>
      </c>
      <c r="V113" s="151"/>
      <c r="W113" s="151"/>
      <c r="X113" s="151"/>
      <c r="Y113" s="151"/>
      <c r="Z113" s="151"/>
      <c r="AA113" s="151"/>
      <c r="AB113" s="151"/>
    </row>
    <row r="114" spans="1:28" ht="15" hidden="1">
      <c r="A114" s="151"/>
      <c r="B114" s="151"/>
      <c r="C114" s="151"/>
      <c r="D114" s="151"/>
      <c r="E114" s="151"/>
      <c r="F114" s="151"/>
      <c r="G114" s="151"/>
      <c r="H114" s="151"/>
      <c r="I114" s="151"/>
      <c r="J114" s="151"/>
      <c r="K114" s="218">
        <f t="shared" si="2"/>
        <v>108</v>
      </c>
      <c r="L114" s="216" t="str">
        <f t="shared" si="3"/>
        <v>3092INSTITUT ZA FILOZOFIJU</v>
      </c>
      <c r="M114" s="216">
        <v>3092</v>
      </c>
      <c r="N114" s="219" t="s">
        <v>658</v>
      </c>
      <c r="O114" s="220" t="s">
        <v>587</v>
      </c>
      <c r="P114" s="219" t="s">
        <v>1937</v>
      </c>
      <c r="Q114" s="219" t="s">
        <v>370</v>
      </c>
      <c r="R114" s="217">
        <v>3772047</v>
      </c>
      <c r="S114" s="213" t="s">
        <v>659</v>
      </c>
      <c r="T114" s="214" t="s">
        <v>755</v>
      </c>
      <c r="U114" s="215" t="s">
        <v>631</v>
      </c>
      <c r="V114" s="151"/>
      <c r="W114" s="151"/>
      <c r="X114" s="151"/>
      <c r="Y114" s="151"/>
      <c r="Z114" s="151"/>
      <c r="AA114" s="151"/>
      <c r="AB114" s="151"/>
    </row>
    <row r="115" spans="1:28" ht="15" hidden="1">
      <c r="A115" s="151"/>
      <c r="B115" s="151"/>
      <c r="C115" s="151"/>
      <c r="D115" s="151"/>
      <c r="E115" s="151"/>
      <c r="F115" s="151"/>
      <c r="G115" s="151"/>
      <c r="H115" s="151"/>
      <c r="I115" s="151"/>
      <c r="J115" s="151"/>
      <c r="K115" s="218">
        <f t="shared" si="2"/>
        <v>109</v>
      </c>
      <c r="L115" s="216" t="str">
        <f t="shared" si="3"/>
        <v>2975INSTITUT ZA FIZIKU</v>
      </c>
      <c r="M115" s="216">
        <v>2975</v>
      </c>
      <c r="N115" s="219" t="s">
        <v>660</v>
      </c>
      <c r="O115" s="220" t="s">
        <v>587</v>
      </c>
      <c r="P115" s="219" t="s">
        <v>645</v>
      </c>
      <c r="Q115" s="219" t="s">
        <v>370</v>
      </c>
      <c r="R115" s="217">
        <v>3270424</v>
      </c>
      <c r="S115" s="213" t="s">
        <v>661</v>
      </c>
      <c r="T115" s="214" t="s">
        <v>755</v>
      </c>
      <c r="U115" s="215" t="s">
        <v>631</v>
      </c>
      <c r="V115" s="151"/>
      <c r="W115" s="151"/>
      <c r="X115" s="151"/>
      <c r="Y115" s="151"/>
      <c r="Z115" s="151"/>
      <c r="AA115" s="151"/>
      <c r="AB115" s="151"/>
    </row>
    <row r="116" spans="1:28" ht="15" hidden="1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218">
        <f t="shared" si="2"/>
        <v>110</v>
      </c>
      <c r="L116" s="216" t="str">
        <f t="shared" si="3"/>
        <v>21061INSTITUT ZA HRVATSKI JEZIK I JEZIKOSLOVLJE</v>
      </c>
      <c r="M116" s="216">
        <v>21061</v>
      </c>
      <c r="N116" s="219" t="s">
        <v>665</v>
      </c>
      <c r="O116" s="220" t="s">
        <v>587</v>
      </c>
      <c r="P116" s="219" t="s">
        <v>666</v>
      </c>
      <c r="Q116" s="219" t="s">
        <v>370</v>
      </c>
      <c r="R116" s="217">
        <v>1259571</v>
      </c>
      <c r="S116" s="213" t="s">
        <v>667</v>
      </c>
      <c r="T116" s="214" t="s">
        <v>755</v>
      </c>
      <c r="U116" s="215" t="s">
        <v>631</v>
      </c>
      <c r="V116" s="151"/>
      <c r="W116" s="151"/>
      <c r="X116" s="151"/>
      <c r="Y116" s="151"/>
      <c r="Z116" s="151"/>
      <c r="AA116" s="151"/>
      <c r="AB116" s="151"/>
    </row>
    <row r="117" spans="1:28" ht="15" hidden="1">
      <c r="A117" s="151"/>
      <c r="B117" s="151"/>
      <c r="C117" s="151"/>
      <c r="D117" s="151"/>
      <c r="E117" s="151"/>
      <c r="F117" s="151"/>
      <c r="G117" s="151"/>
      <c r="H117" s="151"/>
      <c r="I117" s="151"/>
      <c r="J117" s="151"/>
      <c r="K117" s="218">
        <f t="shared" si="2"/>
        <v>111</v>
      </c>
      <c r="L117" s="216" t="str">
        <f t="shared" si="3"/>
        <v>3025INSTITUT ZA JADRANSKE KULTURE I MELIORACIJU KRŠA</v>
      </c>
      <c r="M117" s="216">
        <v>3025</v>
      </c>
      <c r="N117" s="219" t="s">
        <v>668</v>
      </c>
      <c r="O117" s="220" t="s">
        <v>587</v>
      </c>
      <c r="P117" s="219" t="s">
        <v>669</v>
      </c>
      <c r="Q117" s="219" t="s">
        <v>455</v>
      </c>
      <c r="R117" s="217">
        <v>3140792</v>
      </c>
      <c r="S117" s="213" t="s">
        <v>670</v>
      </c>
      <c r="T117" s="214" t="s">
        <v>755</v>
      </c>
      <c r="U117" s="215" t="s">
        <v>631</v>
      </c>
      <c r="V117" s="151"/>
      <c r="W117" s="151"/>
      <c r="X117" s="151"/>
      <c r="Y117" s="151"/>
      <c r="Z117" s="151"/>
      <c r="AA117" s="151"/>
      <c r="AB117" s="151"/>
    </row>
    <row r="118" spans="1:28" ht="15" hidden="1">
      <c r="A118" s="151"/>
      <c r="B118" s="151"/>
      <c r="C118" s="151"/>
      <c r="D118" s="151"/>
      <c r="E118" s="151"/>
      <c r="F118" s="151"/>
      <c r="G118" s="151"/>
      <c r="H118" s="151"/>
      <c r="I118" s="151"/>
      <c r="J118" s="151"/>
      <c r="K118" s="218">
        <f t="shared" si="2"/>
        <v>112</v>
      </c>
      <c r="L118" s="216" t="str">
        <f t="shared" si="3"/>
        <v>23286INSTITUT ZA JAVNE FINANCIJE</v>
      </c>
      <c r="M118" s="216">
        <v>23286</v>
      </c>
      <c r="N118" s="219" t="s">
        <v>671</v>
      </c>
      <c r="O118" s="220" t="s">
        <v>587</v>
      </c>
      <c r="P118" s="219" t="s">
        <v>672</v>
      </c>
      <c r="Q118" s="219" t="s">
        <v>370</v>
      </c>
      <c r="R118" s="217">
        <v>3226344</v>
      </c>
      <c r="S118" s="213" t="s">
        <v>673</v>
      </c>
      <c r="T118" s="214" t="s">
        <v>755</v>
      </c>
      <c r="U118" s="215" t="s">
        <v>631</v>
      </c>
      <c r="V118" s="151"/>
      <c r="W118" s="151"/>
      <c r="X118" s="151"/>
      <c r="Y118" s="151"/>
      <c r="Z118" s="151"/>
      <c r="AA118" s="151"/>
      <c r="AB118" s="151"/>
    </row>
    <row r="119" spans="1:28" ht="15" hidden="1">
      <c r="A119" s="151"/>
      <c r="B119" s="151"/>
      <c r="C119" s="151"/>
      <c r="D119" s="151"/>
      <c r="E119" s="151"/>
      <c r="F119" s="151"/>
      <c r="G119" s="151"/>
      <c r="H119" s="151"/>
      <c r="I119" s="151"/>
      <c r="J119" s="151"/>
      <c r="K119" s="218">
        <f t="shared" si="2"/>
        <v>113</v>
      </c>
      <c r="L119" s="216" t="str">
        <f t="shared" si="3"/>
        <v>2959INSTITUT ZA MEDICINSKA ISTRAŽIVANJA I MEDICINU RADA</v>
      </c>
      <c r="M119" s="216">
        <v>2959</v>
      </c>
      <c r="N119" s="219" t="s">
        <v>674</v>
      </c>
      <c r="O119" s="220" t="s">
        <v>587</v>
      </c>
      <c r="P119" s="219" t="s">
        <v>675</v>
      </c>
      <c r="Q119" s="219" t="s">
        <v>370</v>
      </c>
      <c r="R119" s="217">
        <v>3270475</v>
      </c>
      <c r="S119" s="213" t="s">
        <v>676</v>
      </c>
      <c r="T119" s="214" t="s">
        <v>755</v>
      </c>
      <c r="U119" s="215" t="s">
        <v>631</v>
      </c>
      <c r="V119" s="151"/>
      <c r="W119" s="151"/>
      <c r="X119" s="151"/>
      <c r="Y119" s="151"/>
      <c r="Z119" s="151"/>
      <c r="AA119" s="151"/>
      <c r="AB119" s="151"/>
    </row>
    <row r="120" spans="1:28" ht="15" hidden="1">
      <c r="A120" s="151"/>
      <c r="B120" s="151"/>
      <c r="C120" s="151"/>
      <c r="D120" s="151"/>
      <c r="E120" s="151"/>
      <c r="F120" s="151"/>
      <c r="G120" s="151"/>
      <c r="H120" s="151"/>
      <c r="I120" s="151"/>
      <c r="J120" s="151"/>
      <c r="K120" s="218">
        <f t="shared" si="2"/>
        <v>114</v>
      </c>
      <c r="L120" s="216" t="str">
        <f t="shared" si="3"/>
        <v>3009INSTITUT ZA MIGRACIJE I NARODNOSTI</v>
      </c>
      <c r="M120" s="216">
        <v>3009</v>
      </c>
      <c r="N120" s="219" t="s">
        <v>679</v>
      </c>
      <c r="O120" s="220" t="s">
        <v>587</v>
      </c>
      <c r="P120" s="219" t="s">
        <v>680</v>
      </c>
      <c r="Q120" s="219" t="s">
        <v>370</v>
      </c>
      <c r="R120" s="217">
        <v>3287572</v>
      </c>
      <c r="S120" s="213" t="s">
        <v>681</v>
      </c>
      <c r="T120" s="214" t="s">
        <v>755</v>
      </c>
      <c r="U120" s="215" t="s">
        <v>631</v>
      </c>
      <c r="V120" s="151"/>
      <c r="W120" s="151"/>
      <c r="X120" s="151"/>
      <c r="Y120" s="151"/>
      <c r="Z120" s="151"/>
      <c r="AA120" s="151"/>
      <c r="AB120" s="151"/>
    </row>
    <row r="121" spans="1:28" ht="15" hidden="1">
      <c r="A121" s="151"/>
      <c r="B121" s="151"/>
      <c r="C121" s="151"/>
      <c r="D121" s="151"/>
      <c r="E121" s="151"/>
      <c r="F121" s="151"/>
      <c r="G121" s="151"/>
      <c r="H121" s="151"/>
      <c r="I121" s="151"/>
      <c r="J121" s="151"/>
      <c r="K121" s="218">
        <f t="shared" si="2"/>
        <v>115</v>
      </c>
      <c r="L121" s="216" t="str">
        <f t="shared" si="3"/>
        <v>2900INSTITUT ZA OCEANOGRAFIJU I RIBARSTVO</v>
      </c>
      <c r="M121" s="216">
        <v>2900</v>
      </c>
      <c r="N121" s="219" t="s">
        <v>682</v>
      </c>
      <c r="O121" s="220" t="s">
        <v>587</v>
      </c>
      <c r="P121" s="219" t="s">
        <v>1939</v>
      </c>
      <c r="Q121" s="219" t="s">
        <v>455</v>
      </c>
      <c r="R121" s="217">
        <v>3118355</v>
      </c>
      <c r="S121" s="213" t="s">
        <v>683</v>
      </c>
      <c r="T121" s="214" t="s">
        <v>755</v>
      </c>
      <c r="U121" s="215" t="s">
        <v>631</v>
      </c>
      <c r="V121" s="151"/>
      <c r="W121" s="151"/>
      <c r="X121" s="151"/>
      <c r="Y121" s="151"/>
      <c r="Z121" s="151"/>
      <c r="AA121" s="151"/>
      <c r="AB121" s="151"/>
    </row>
    <row r="122" spans="1:28" ht="15" hidden="1">
      <c r="A122" s="151"/>
      <c r="B122" s="151"/>
      <c r="C122" s="151"/>
      <c r="D122" s="151"/>
      <c r="E122" s="151"/>
      <c r="F122" s="151"/>
      <c r="G122" s="151"/>
      <c r="H122" s="151"/>
      <c r="I122" s="151"/>
      <c r="J122" s="151"/>
      <c r="K122" s="218">
        <f t="shared" si="2"/>
        <v>116</v>
      </c>
      <c r="L122" s="216" t="str">
        <f t="shared" si="3"/>
        <v>3076INSTITUT ZA POLJOPRIVREDU I TURIZAM</v>
      </c>
      <c r="M122" s="216">
        <v>3076</v>
      </c>
      <c r="N122" s="219" t="s">
        <v>684</v>
      </c>
      <c r="O122" s="220" t="s">
        <v>587</v>
      </c>
      <c r="P122" s="219" t="s">
        <v>685</v>
      </c>
      <c r="Q122" s="219" t="s">
        <v>686</v>
      </c>
      <c r="R122" s="217">
        <v>3421031</v>
      </c>
      <c r="S122" s="213" t="s">
        <v>687</v>
      </c>
      <c r="T122" s="214" t="s">
        <v>755</v>
      </c>
      <c r="U122" s="215" t="s">
        <v>631</v>
      </c>
      <c r="V122" s="151"/>
      <c r="W122" s="151"/>
      <c r="X122" s="151"/>
      <c r="Y122" s="151"/>
      <c r="Z122" s="151"/>
      <c r="AA122" s="151"/>
      <c r="AB122" s="151"/>
    </row>
    <row r="123" spans="1:28" ht="15" hidden="1">
      <c r="A123" s="151"/>
      <c r="B123" s="151"/>
      <c r="C123" s="151"/>
      <c r="D123" s="151"/>
      <c r="E123" s="151"/>
      <c r="F123" s="151"/>
      <c r="G123" s="151"/>
      <c r="H123" s="151"/>
      <c r="I123" s="151"/>
      <c r="J123" s="151"/>
      <c r="K123" s="218">
        <f t="shared" si="2"/>
        <v>117</v>
      </c>
      <c r="L123" s="216" t="str">
        <f t="shared" si="3"/>
        <v>2942INSTITUT ZA POVIJEST UMJETNOSTI</v>
      </c>
      <c r="M123" s="216">
        <v>2942</v>
      </c>
      <c r="N123" s="219" t="s">
        <v>688</v>
      </c>
      <c r="O123" s="220" t="s">
        <v>587</v>
      </c>
      <c r="P123" s="219" t="s">
        <v>689</v>
      </c>
      <c r="Q123" s="219" t="s">
        <v>370</v>
      </c>
      <c r="R123" s="217">
        <v>1339958</v>
      </c>
      <c r="S123" s="213" t="s">
        <v>690</v>
      </c>
      <c r="T123" s="214" t="s">
        <v>755</v>
      </c>
      <c r="U123" s="215" t="s">
        <v>631</v>
      </c>
      <c r="V123" s="151"/>
      <c r="W123" s="151"/>
      <c r="X123" s="151"/>
      <c r="Y123" s="151"/>
      <c r="Z123" s="151"/>
      <c r="AA123" s="151"/>
      <c r="AB123" s="151"/>
    </row>
    <row r="124" spans="1:28" ht="15" hidden="1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218">
        <f t="shared" si="2"/>
        <v>118</v>
      </c>
      <c r="L124" s="216" t="str">
        <f t="shared" si="3"/>
        <v>22621INSTITUT ZA RAZVOJ I MEĐUNARODNE ODNOSE</v>
      </c>
      <c r="M124" s="216">
        <v>22621</v>
      </c>
      <c r="N124" s="219" t="s">
        <v>677</v>
      </c>
      <c r="O124" s="220" t="s">
        <v>587</v>
      </c>
      <c r="P124" s="219" t="s">
        <v>1938</v>
      </c>
      <c r="Q124" s="219" t="s">
        <v>370</v>
      </c>
      <c r="R124" s="217">
        <v>3205177</v>
      </c>
      <c r="S124" s="213" t="s">
        <v>678</v>
      </c>
      <c r="T124" s="214" t="s">
        <v>755</v>
      </c>
      <c r="U124" s="215" t="s">
        <v>631</v>
      </c>
      <c r="V124" s="151"/>
      <c r="W124" s="151"/>
      <c r="X124" s="151"/>
      <c r="Y124" s="151"/>
      <c r="Z124" s="151"/>
      <c r="AA124" s="151"/>
      <c r="AB124" s="151"/>
    </row>
    <row r="125" spans="1:28" ht="15" hidden="1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218">
        <f t="shared" si="2"/>
        <v>119</v>
      </c>
      <c r="L125" s="216" t="str">
        <f t="shared" si="3"/>
        <v>3068INSTITUT ZA TURIZAM</v>
      </c>
      <c r="M125" s="216">
        <v>3068</v>
      </c>
      <c r="N125" s="219" t="s">
        <v>691</v>
      </c>
      <c r="O125" s="220" t="s">
        <v>587</v>
      </c>
      <c r="P125" s="219" t="s">
        <v>692</v>
      </c>
      <c r="Q125" s="219" t="s">
        <v>370</v>
      </c>
      <c r="R125" s="217">
        <v>3208001</v>
      </c>
      <c r="S125" s="213" t="s">
        <v>693</v>
      </c>
      <c r="T125" s="214" t="s">
        <v>755</v>
      </c>
      <c r="U125" s="215" t="s">
        <v>631</v>
      </c>
      <c r="V125" s="151"/>
      <c r="W125" s="151"/>
      <c r="X125" s="151"/>
      <c r="Y125" s="151"/>
      <c r="Z125" s="151"/>
      <c r="AA125" s="151"/>
      <c r="AB125" s="151"/>
    </row>
    <row r="126" spans="1:28" ht="15" hidden="1">
      <c r="A126" s="151"/>
      <c r="B126" s="151"/>
      <c r="C126" s="151"/>
      <c r="D126" s="151"/>
      <c r="E126" s="151"/>
      <c r="F126" s="151"/>
      <c r="G126" s="151"/>
      <c r="H126" s="151"/>
      <c r="I126" s="151"/>
      <c r="J126" s="151"/>
      <c r="K126" s="218">
        <f t="shared" si="2"/>
        <v>120</v>
      </c>
      <c r="L126" s="216" t="str">
        <f t="shared" si="3"/>
        <v>2991POLJOPRIVREDNI INSTITUT OSIJEK</v>
      </c>
      <c r="M126" s="216">
        <v>2991</v>
      </c>
      <c r="N126" s="219" t="s">
        <v>1940</v>
      </c>
      <c r="O126" s="220" t="s">
        <v>587</v>
      </c>
      <c r="P126" s="219" t="s">
        <v>1941</v>
      </c>
      <c r="Q126" s="219" t="s">
        <v>373</v>
      </c>
      <c r="R126" s="217">
        <v>3058239</v>
      </c>
      <c r="S126" s="213" t="s">
        <v>1942</v>
      </c>
      <c r="T126" s="214" t="s">
        <v>755</v>
      </c>
      <c r="U126" s="215" t="s">
        <v>631</v>
      </c>
      <c r="V126" s="151"/>
      <c r="W126" s="151"/>
      <c r="X126" s="151"/>
      <c r="Y126" s="151"/>
      <c r="Z126" s="151"/>
      <c r="AA126" s="151"/>
      <c r="AB126" s="151"/>
    </row>
    <row r="127" spans="1:28" ht="15" hidden="1">
      <c r="A127" s="151"/>
      <c r="B127" s="151"/>
      <c r="C127" s="151"/>
      <c r="D127" s="151"/>
      <c r="E127" s="151"/>
      <c r="F127" s="151"/>
      <c r="G127" s="151"/>
      <c r="H127" s="151"/>
      <c r="I127" s="151"/>
      <c r="J127" s="151"/>
      <c r="K127" s="218">
        <f t="shared" si="2"/>
        <v>121</v>
      </c>
      <c r="L127" s="216" t="str">
        <f t="shared" si="3"/>
        <v>21070STAROSLAVENSKI INSTITUT</v>
      </c>
      <c r="M127" s="216">
        <v>21070</v>
      </c>
      <c r="N127" s="219" t="s">
        <v>694</v>
      </c>
      <c r="O127" s="220" t="s">
        <v>587</v>
      </c>
      <c r="P127" s="219" t="s">
        <v>695</v>
      </c>
      <c r="Q127" s="219" t="s">
        <v>370</v>
      </c>
      <c r="R127" s="217">
        <v>1259563</v>
      </c>
      <c r="S127" s="213" t="s">
        <v>696</v>
      </c>
      <c r="T127" s="214" t="s">
        <v>755</v>
      </c>
      <c r="U127" s="215" t="s">
        <v>631</v>
      </c>
      <c r="V127" s="151"/>
      <c r="W127" s="151"/>
      <c r="X127" s="151"/>
      <c r="Y127" s="151"/>
      <c r="Z127" s="151"/>
      <c r="AA127" s="151"/>
      <c r="AB127" s="151"/>
    </row>
    <row r="128" spans="1:28" ht="15" hidden="1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  <c r="K128" s="218">
        <f t="shared" si="2"/>
        <v>122</v>
      </c>
      <c r="L128" s="216" t="str">
        <f t="shared" si="3"/>
        <v>6179DRŽAVNI ZAVOD ZA INTELEKTUALNO VLASNIŠTVO</v>
      </c>
      <c r="M128" s="216">
        <v>6179</v>
      </c>
      <c r="N128" s="219" t="s">
        <v>702</v>
      </c>
      <c r="O128" s="220" t="s">
        <v>587</v>
      </c>
      <c r="P128" s="225" t="s">
        <v>703</v>
      </c>
      <c r="Q128" s="219" t="s">
        <v>370</v>
      </c>
      <c r="R128" s="217">
        <v>3899772</v>
      </c>
      <c r="S128" s="213" t="s">
        <v>704</v>
      </c>
      <c r="T128" s="214" t="s">
        <v>1943</v>
      </c>
      <c r="U128" s="215" t="s">
        <v>1093</v>
      </c>
      <c r="V128" s="151"/>
      <c r="W128" s="151"/>
      <c r="X128" s="151"/>
      <c r="Y128" s="151"/>
      <c r="Z128" s="151"/>
      <c r="AA128" s="151"/>
      <c r="AB128" s="151"/>
    </row>
    <row r="129" spans="1:28" ht="15" hidden="1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218">
        <f t="shared" si="2"/>
        <v>123</v>
      </c>
      <c r="L129" s="216" t="str">
        <f t="shared" si="3"/>
        <v>43335AGENCIJA ZA MOBILNOST I PROGRAME EUROPSKE UNIJE</v>
      </c>
      <c r="M129" s="216">
        <v>43335</v>
      </c>
      <c r="N129" s="219" t="s">
        <v>723</v>
      </c>
      <c r="O129" s="220" t="s">
        <v>587</v>
      </c>
      <c r="P129" s="225" t="s">
        <v>712</v>
      </c>
      <c r="Q129" s="219" t="s">
        <v>370</v>
      </c>
      <c r="R129" s="217">
        <v>2298007</v>
      </c>
      <c r="S129" s="213" t="s">
        <v>724</v>
      </c>
      <c r="T129" s="214" t="s">
        <v>728</v>
      </c>
      <c r="U129" s="215" t="s">
        <v>701</v>
      </c>
      <c r="V129" s="151"/>
      <c r="W129" s="151"/>
      <c r="X129" s="151"/>
      <c r="Y129" s="151"/>
      <c r="Z129" s="151"/>
      <c r="AA129" s="151"/>
      <c r="AB129" s="151"/>
    </row>
    <row r="130" spans="1:28" ht="15" hidden="1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  <c r="K130" s="218">
        <f t="shared" si="2"/>
        <v>124</v>
      </c>
      <c r="L130" s="216" t="str">
        <f t="shared" si="3"/>
        <v>23962AGENCIJA ZA ODGOJ I OBRAZOVANJE</v>
      </c>
      <c r="M130" s="216">
        <v>23962</v>
      </c>
      <c r="N130" s="219" t="s">
        <v>716</v>
      </c>
      <c r="O130" s="220" t="s">
        <v>587</v>
      </c>
      <c r="P130" s="225" t="s">
        <v>369</v>
      </c>
      <c r="Q130" s="219" t="s">
        <v>370</v>
      </c>
      <c r="R130" s="217">
        <v>1778129</v>
      </c>
      <c r="S130" s="213" t="s">
        <v>717</v>
      </c>
      <c r="T130" s="214" t="s">
        <v>728</v>
      </c>
      <c r="U130" s="215" t="s">
        <v>701</v>
      </c>
      <c r="V130" s="151"/>
      <c r="W130" s="151"/>
      <c r="X130" s="151"/>
      <c r="Y130" s="151"/>
      <c r="Z130" s="151"/>
      <c r="AA130" s="151"/>
      <c r="AB130" s="151"/>
    </row>
    <row r="131" spans="1:28" ht="15" hidden="1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  <c r="K131" s="218">
        <f t="shared" si="2"/>
        <v>125</v>
      </c>
      <c r="L131" s="216" t="str">
        <f t="shared" si="3"/>
        <v>46173AGENCIJA ZA STRUKOVNO OBRAZOVANJE I OBRAZOVANJE ODRASLIH</v>
      </c>
      <c r="M131" s="216">
        <v>46173</v>
      </c>
      <c r="N131" s="219" t="s">
        <v>725</v>
      </c>
      <c r="O131" s="220" t="s">
        <v>587</v>
      </c>
      <c r="P131" s="225" t="s">
        <v>1980</v>
      </c>
      <c r="Q131" s="219" t="s">
        <v>370</v>
      </c>
      <c r="R131" s="217">
        <v>2650029</v>
      </c>
      <c r="S131" s="213" t="s">
        <v>726</v>
      </c>
      <c r="T131" s="214" t="s">
        <v>728</v>
      </c>
      <c r="U131" s="215" t="s">
        <v>701</v>
      </c>
      <c r="V131" s="151"/>
      <c r="W131" s="151"/>
      <c r="X131" s="151"/>
      <c r="Y131" s="151"/>
      <c r="Z131" s="151"/>
      <c r="AA131" s="151"/>
      <c r="AB131" s="151"/>
    </row>
    <row r="132" spans="1:28" ht="15" hidden="1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218">
        <f t="shared" si="2"/>
        <v>126</v>
      </c>
      <c r="L132" s="216" t="str">
        <f t="shared" si="3"/>
        <v>38487AGENCIJA ZA ZNANOST I VISOKO OBRAZOVANJE</v>
      </c>
      <c r="M132" s="216">
        <v>38487</v>
      </c>
      <c r="N132" s="219" t="s">
        <v>718</v>
      </c>
      <c r="O132" s="220" t="s">
        <v>587</v>
      </c>
      <c r="P132" s="219" t="s">
        <v>719</v>
      </c>
      <c r="Q132" s="219" t="s">
        <v>370</v>
      </c>
      <c r="R132" s="217">
        <v>1922548</v>
      </c>
      <c r="S132" s="213" t="s">
        <v>720</v>
      </c>
      <c r="T132" s="214" t="s">
        <v>728</v>
      </c>
      <c r="U132" s="215" t="s">
        <v>701</v>
      </c>
      <c r="V132" s="151"/>
      <c r="W132" s="151"/>
      <c r="X132" s="151"/>
      <c r="Y132" s="151"/>
      <c r="Z132" s="151"/>
      <c r="AA132" s="151"/>
      <c r="AB132" s="151"/>
    </row>
    <row r="133" spans="1:28" ht="15" hidden="1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  <c r="K133" s="218">
        <f t="shared" si="2"/>
        <v>127</v>
      </c>
      <c r="L133" s="216" t="str">
        <f t="shared" si="3"/>
        <v>21852HRVATSKA AKADEMSKA I ISTRAŽIVAČKA MREŽA - CARNET</v>
      </c>
      <c r="M133" s="216">
        <v>21852</v>
      </c>
      <c r="N133" s="219" t="s">
        <v>708</v>
      </c>
      <c r="O133" s="220" t="s">
        <v>587</v>
      </c>
      <c r="P133" s="225" t="s">
        <v>709</v>
      </c>
      <c r="Q133" s="219" t="s">
        <v>370</v>
      </c>
      <c r="R133" s="217">
        <v>1147820</v>
      </c>
      <c r="S133" s="213" t="s">
        <v>710</v>
      </c>
      <c r="T133" s="214" t="s">
        <v>728</v>
      </c>
      <c r="U133" s="215" t="s">
        <v>701</v>
      </c>
      <c r="V133" s="151"/>
      <c r="W133" s="151"/>
      <c r="X133" s="151"/>
      <c r="Y133" s="151"/>
      <c r="Z133" s="151"/>
      <c r="AA133" s="151"/>
      <c r="AB133" s="151"/>
    </row>
    <row r="134" spans="1:28" ht="15" hidden="1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  <c r="K134" s="218">
        <f t="shared" ref="K134:K137" si="4">+K133+1</f>
        <v>128</v>
      </c>
      <c r="L134" s="216" t="str">
        <f t="shared" si="3"/>
        <v>21869LEKSIKOGRAFSKI ZAVOD MIROSLAV KRLEŽA</v>
      </c>
      <c r="M134" s="216">
        <v>21869</v>
      </c>
      <c r="N134" s="219" t="s">
        <v>711</v>
      </c>
      <c r="O134" s="220" t="s">
        <v>587</v>
      </c>
      <c r="P134" s="225" t="s">
        <v>712</v>
      </c>
      <c r="Q134" s="219" t="s">
        <v>370</v>
      </c>
      <c r="R134" s="217">
        <v>3211622</v>
      </c>
      <c r="S134" s="213" t="s">
        <v>713</v>
      </c>
      <c r="T134" s="214" t="s">
        <v>728</v>
      </c>
      <c r="U134" s="215" t="s">
        <v>701</v>
      </c>
      <c r="V134" s="151"/>
      <c r="W134" s="151"/>
      <c r="X134" s="151"/>
      <c r="Y134" s="151"/>
      <c r="Z134" s="151"/>
      <c r="AA134" s="151"/>
      <c r="AB134" s="151"/>
    </row>
    <row r="135" spans="1:28" ht="15" hidden="1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218">
        <f t="shared" si="4"/>
        <v>129</v>
      </c>
      <c r="L135" s="216" t="str">
        <f t="shared" si="3"/>
        <v>21836NACIONALNA I SVEUČILIŠNA KNJIŽNICA U ZAGREBU</v>
      </c>
      <c r="M135" s="216">
        <v>21836</v>
      </c>
      <c r="N135" s="219" t="s">
        <v>705</v>
      </c>
      <c r="O135" s="220" t="s">
        <v>587</v>
      </c>
      <c r="P135" s="225" t="s">
        <v>706</v>
      </c>
      <c r="Q135" s="219" t="s">
        <v>370</v>
      </c>
      <c r="R135" s="217">
        <v>3205363</v>
      </c>
      <c r="S135" s="213" t="s">
        <v>707</v>
      </c>
      <c r="T135" s="214" t="s">
        <v>728</v>
      </c>
      <c r="U135" s="215" t="s">
        <v>701</v>
      </c>
      <c r="V135" s="151"/>
      <c r="W135" s="151"/>
      <c r="X135" s="151"/>
      <c r="Y135" s="151"/>
      <c r="Z135" s="151"/>
      <c r="AA135" s="151"/>
      <c r="AB135" s="151"/>
    </row>
    <row r="136" spans="1:28" ht="15" hidden="1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  <c r="K136" s="218">
        <f t="shared" si="4"/>
        <v>130</v>
      </c>
      <c r="L136" s="216" t="str">
        <f t="shared" ref="L136:L137" si="5">M136&amp;""&amp;N136</f>
        <v>40883NACIONALNI CENTAR ZA VANJSKO VREDNOVANJE OBRAZOVANJA</v>
      </c>
      <c r="M136" s="216">
        <v>40883</v>
      </c>
      <c r="N136" s="219" t="s">
        <v>721</v>
      </c>
      <c r="O136" s="220" t="s">
        <v>587</v>
      </c>
      <c r="P136" s="225" t="s">
        <v>1981</v>
      </c>
      <c r="Q136" s="219" t="s">
        <v>1982</v>
      </c>
      <c r="R136" s="217">
        <v>1943430</v>
      </c>
      <c r="S136" s="213" t="s">
        <v>722</v>
      </c>
      <c r="T136" s="214" t="s">
        <v>728</v>
      </c>
      <c r="U136" s="215" t="s">
        <v>701</v>
      </c>
      <c r="V136" s="151"/>
      <c r="W136" s="151"/>
      <c r="X136" s="151"/>
      <c r="Y136" s="151"/>
      <c r="Z136" s="151"/>
      <c r="AA136" s="151"/>
      <c r="AB136" s="151"/>
    </row>
    <row r="137" spans="1:28" ht="15" hidden="1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  <c r="K137" s="218">
        <f t="shared" si="4"/>
        <v>131</v>
      </c>
      <c r="L137" s="216" t="str">
        <f t="shared" si="5"/>
        <v>23665SVEUČILIŠTE U ZAGREBU - SVEUČILIŠNI RAČUNSKI CENTAR - SRCE</v>
      </c>
      <c r="M137" s="216">
        <v>23665</v>
      </c>
      <c r="N137" s="219" t="s">
        <v>714</v>
      </c>
      <c r="O137" s="220" t="s">
        <v>587</v>
      </c>
      <c r="P137" s="225" t="s">
        <v>709</v>
      </c>
      <c r="Q137" s="219" t="s">
        <v>370</v>
      </c>
      <c r="R137" s="217">
        <v>3283020</v>
      </c>
      <c r="S137" s="213" t="s">
        <v>715</v>
      </c>
      <c r="T137" s="214" t="s">
        <v>728</v>
      </c>
      <c r="U137" s="215" t="s">
        <v>701</v>
      </c>
      <c r="V137" s="151"/>
      <c r="W137" s="151"/>
      <c r="X137" s="151"/>
      <c r="Y137" s="151"/>
      <c r="Z137" s="151"/>
      <c r="AA137" s="151"/>
      <c r="AB137" s="151"/>
    </row>
    <row r="138" spans="1:28" ht="15" hidden="1">
      <c r="A138" s="151"/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</row>
    <row r="139" spans="1:28" ht="15" hidden="1">
      <c r="A139" s="151"/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</row>
    <row r="140" spans="1:28" ht="15" hidden="1">
      <c r="A140" s="151"/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</row>
    <row r="141" spans="1:28" ht="15" hidden="1">
      <c r="A141" s="151"/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</row>
    <row r="142" spans="1:28" ht="15" hidden="1">
      <c r="A142" s="151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</row>
    <row r="143" spans="1:28" ht="15" hidden="1">
      <c r="A143" s="151"/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</row>
    <row r="144" spans="1:28" ht="15" hidden="1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</row>
    <row r="145" spans="1:28" ht="15" hidden="1">
      <c r="A145" s="151"/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</row>
    <row r="146" spans="1:28" ht="15" hidden="1">
      <c r="A146" s="151"/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</row>
    <row r="147" spans="1:28" ht="15" hidden="1">
      <c r="A147" s="151"/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</row>
    <row r="148" spans="1:28" ht="15" hidden="1">
      <c r="A148" s="151"/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</row>
    <row r="149" spans="1:28" ht="15" hidden="1">
      <c r="A149" s="151"/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</row>
    <row r="150" spans="1:28" ht="15" hidden="1">
      <c r="A150" s="151"/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</row>
    <row r="151" spans="1:28" ht="15" hidden="1">
      <c r="A151" s="151"/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</row>
    <row r="152" spans="1:28" ht="15" hidden="1">
      <c r="A152" s="151"/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</row>
    <row r="153" spans="1:28" ht="15" hidden="1">
      <c r="A153" s="151"/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</row>
    <row r="154" spans="1:28" ht="15" hidden="1">
      <c r="A154" s="151"/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</row>
    <row r="155" spans="1:28" ht="15" hidden="1">
      <c r="A155" s="151"/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</row>
    <row r="156" spans="1:28" ht="15" hidden="1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</row>
    <row r="157" spans="1:28" ht="15" hidden="1">
      <c r="A157" s="151"/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</row>
    <row r="158" spans="1:28" ht="15" hidden="1">
      <c r="A158" s="151"/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</row>
    <row r="159" spans="1:28" ht="15" hidden="1">
      <c r="A159" s="151"/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</row>
    <row r="160" spans="1:28" ht="15" hidden="1">
      <c r="A160" s="151"/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</row>
    <row r="161" spans="1:28" ht="15" hidden="1">
      <c r="A161" s="151"/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</row>
    <row r="162" spans="1:28" ht="15" hidden="1">
      <c r="A162" s="151"/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</row>
    <row r="163" spans="1:28" ht="15" hidden="1">
      <c r="A163" s="151"/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</row>
    <row r="164" spans="1:28" ht="15" hidden="1">
      <c r="A164" s="151"/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</row>
    <row r="165" spans="1:28" ht="15" hidden="1">
      <c r="A165" s="151"/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</row>
    <row r="166" spans="1:28" ht="15" hidden="1">
      <c r="A166" s="151"/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</row>
    <row r="167" spans="1:28" ht="15" hidden="1">
      <c r="A167" s="151"/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</row>
    <row r="168" spans="1:28" ht="15" hidden="1">
      <c r="A168" s="151"/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</row>
    <row r="169" spans="1:28" ht="15" hidden="1">
      <c r="A169" s="151"/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</row>
    <row r="170" spans="1:28" ht="15" hidden="1">
      <c r="A170" s="151"/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</row>
    <row r="171" spans="1:28" ht="15" hidden="1">
      <c r="A171" s="151"/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</row>
    <row r="172" spans="1:28" ht="15" hidden="1">
      <c r="A172" s="151"/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</row>
    <row r="173" spans="1:28" ht="15" hidden="1">
      <c r="A173" s="151"/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</row>
    <row r="174" spans="1:28" ht="15" hidden="1">
      <c r="A174" s="151"/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</row>
    <row r="175" spans="1:28" ht="15" hidden="1">
      <c r="A175" s="151"/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</row>
    <row r="176" spans="1:28" ht="15" hidden="1">
      <c r="A176" s="151"/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</row>
    <row r="177" spans="1:28" ht="15" hidden="1">
      <c r="A177" s="151"/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</row>
    <row r="178" spans="1:28" ht="15" hidden="1">
      <c r="A178" s="151"/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</row>
    <row r="179" spans="1:28" ht="15" hidden="1">
      <c r="A179" s="151"/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</row>
    <row r="180" spans="1:28" ht="15" hidden="1">
      <c r="A180" s="151"/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</row>
    <row r="181" spans="1:28" ht="15" hidden="1">
      <c r="A181" s="151"/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</row>
    <row r="182" spans="1:28" ht="15" hidden="1">
      <c r="A182" s="151"/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</row>
    <row r="183" spans="1:28" ht="15" hidden="1">
      <c r="A183" s="151"/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</row>
    <row r="184" spans="1:28" ht="15" hidden="1">
      <c r="A184" s="151"/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</row>
    <row r="185" spans="1:28" ht="15" hidden="1">
      <c r="A185" s="151"/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</row>
    <row r="186" spans="1:28" ht="15" hidden="1">
      <c r="A186" s="151"/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</row>
    <row r="187" spans="1:28" ht="15" hidden="1">
      <c r="A187" s="151"/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</row>
    <row r="188" spans="1:28" ht="15" hidden="1">
      <c r="A188" s="151"/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</row>
    <row r="189" spans="1:28" ht="15" hidden="1">
      <c r="A189" s="151"/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</row>
    <row r="190" spans="1:28" ht="15" hidden="1">
      <c r="A190" s="151"/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</row>
    <row r="191" spans="1:28" ht="15" hidden="1">
      <c r="A191" s="151"/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</row>
    <row r="192" spans="1:28" ht="15" hidden="1">
      <c r="A192" s="151"/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</row>
    <row r="193" spans="1:28" ht="15" hidden="1">
      <c r="A193" s="151"/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</row>
    <row r="194" spans="1:28" ht="15" hidden="1">
      <c r="A194" s="151"/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</row>
    <row r="195" spans="1:28" ht="15" hidden="1">
      <c r="A195" s="151"/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</row>
    <row r="196" spans="1:28" ht="15" hidden="1">
      <c r="A196" s="151"/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</row>
    <row r="197" spans="1:28" ht="15" hidden="1">
      <c r="A197" s="151"/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</row>
    <row r="198" spans="1:28" ht="15" hidden="1">
      <c r="A198" s="151"/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</row>
    <row r="199" spans="1:28" ht="15" hidden="1">
      <c r="A199" s="151"/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</row>
    <row r="200" spans="1:28" ht="15" hidden="1">
      <c r="A200" s="151"/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</row>
    <row r="201" spans="1:28" ht="15" hidden="1">
      <c r="A201" s="151"/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</row>
    <row r="202" spans="1:28" ht="15" hidden="1">
      <c r="A202" s="151"/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</row>
    <row r="203" spans="1:28" ht="15" hidden="1">
      <c r="A203" s="151"/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</row>
    <row r="204" spans="1:28" ht="15" hidden="1">
      <c r="A204" s="151"/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</row>
    <row r="205" spans="1:28" ht="15" hidden="1">
      <c r="A205" s="151"/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</row>
    <row r="206" spans="1:28" ht="15" hidden="1">
      <c r="A206" s="151"/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</row>
    <row r="207" spans="1:28" ht="15" hidden="1">
      <c r="A207" s="151"/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</row>
    <row r="208" spans="1:28" ht="15" hidden="1">
      <c r="A208" s="151"/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</row>
    <row r="209" spans="1:28" ht="15" hidden="1">
      <c r="A209" s="151"/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</row>
    <row r="210" spans="1:28" ht="15" hidden="1">
      <c r="A210" s="151"/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</row>
    <row r="211" spans="1:28" ht="15" hidden="1">
      <c r="A211" s="151"/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</row>
    <row r="212" spans="1:28" ht="15" hidden="1">
      <c r="A212" s="151"/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</row>
    <row r="213" spans="1:28" ht="15" hidden="1">
      <c r="A213" s="151"/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</row>
    <row r="214" spans="1:28" ht="15" hidden="1">
      <c r="A214" s="151"/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</row>
    <row r="215" spans="1:28" ht="15" hidden="1">
      <c r="A215" s="151"/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</row>
    <row r="216" spans="1:28" ht="15" hidden="1">
      <c r="A216" s="151"/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</row>
    <row r="217" spans="1:28" ht="15" hidden="1">
      <c r="A217" s="151"/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</row>
    <row r="218" spans="1:28" ht="15" hidden="1">
      <c r="A218" s="151"/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</row>
    <row r="219" spans="1:28" ht="15" hidden="1">
      <c r="A219" s="151"/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</row>
    <row r="220" spans="1:28" ht="15" hidden="1">
      <c r="A220" s="151"/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</row>
    <row r="221" spans="1:28" ht="15" hidden="1">
      <c r="A221" s="151"/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</row>
    <row r="222" spans="1:28" ht="15" hidden="1">
      <c r="A222" s="151"/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</row>
    <row r="223" spans="1:28" ht="15" hidden="1">
      <c r="A223" s="151"/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</row>
    <row r="224" spans="1:28" ht="15" hidden="1">
      <c r="A224" s="151"/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</row>
    <row r="225" spans="1:28" ht="15" hidden="1">
      <c r="A225" s="151"/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</row>
    <row r="226" spans="1:28" ht="15" hidden="1">
      <c r="A226" s="151"/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</row>
    <row r="227" spans="1:28" ht="15" hidden="1">
      <c r="A227" s="151"/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</row>
    <row r="228" spans="1:28" ht="15" hidden="1">
      <c r="A228" s="151"/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</row>
    <row r="229" spans="1:28" ht="15" hidden="1">
      <c r="A229" s="151"/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</row>
    <row r="230" spans="1:28" ht="15" hidden="1">
      <c r="A230" s="151"/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</row>
    <row r="231" spans="1:28" ht="15" hidden="1">
      <c r="A231" s="151"/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</row>
    <row r="232" spans="1:28" ht="15" hidden="1">
      <c r="A232" s="151"/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</row>
    <row r="233" spans="1:28" ht="15" hidden="1">
      <c r="A233" s="151"/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</row>
    <row r="234" spans="1:28" ht="15" hidden="1">
      <c r="A234" s="151"/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</row>
    <row r="235" spans="1:28" ht="15" hidden="1">
      <c r="A235" s="151"/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</row>
    <row r="236" spans="1:28" ht="15" hidden="1">
      <c r="A236" s="151"/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</row>
    <row r="237" spans="1:28" ht="15" hidden="1">
      <c r="A237" s="151"/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</row>
    <row r="238" spans="1:28" ht="15" hidden="1">
      <c r="A238" s="151"/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  <c r="AA238" s="151"/>
      <c r="AB238" s="151"/>
    </row>
    <row r="239" spans="1:28" ht="15" hidden="1">
      <c r="A239" s="151"/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  <c r="AA239" s="151"/>
      <c r="AB239" s="151"/>
    </row>
    <row r="240" spans="1:28" ht="15" hidden="1">
      <c r="A240" s="151"/>
      <c r="B240" s="151"/>
      <c r="C240" s="151"/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  <c r="AA240" s="151"/>
      <c r="AB240" s="151"/>
    </row>
    <row r="241" spans="1:28" ht="15" hidden="1">
      <c r="A241" s="151"/>
      <c r="B241" s="151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</row>
    <row r="242" spans="1:28" ht="15" hidden="1">
      <c r="A242" s="151"/>
      <c r="B242" s="151"/>
      <c r="C242" s="151"/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</row>
    <row r="243" spans="1:28" ht="15" hidden="1">
      <c r="A243" s="151"/>
      <c r="B243" s="151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</row>
    <row r="244" spans="1:28" ht="15" hidden="1">
      <c r="A244" s="151"/>
      <c r="B244" s="151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</row>
    <row r="245" spans="1:28" ht="15" hidden="1">
      <c r="A245" s="151"/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</row>
    <row r="246" spans="1:28" ht="15" hidden="1">
      <c r="A246" s="151"/>
      <c r="B246" s="151"/>
      <c r="C246" s="151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</row>
    <row r="247" spans="1:28" ht="15" hidden="1">
      <c r="A247" s="151"/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</row>
    <row r="248" spans="1:28" ht="15" hidden="1">
      <c r="A248" s="151"/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</row>
    <row r="249" spans="1:28" ht="15" hidden="1">
      <c r="A249" s="151"/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</row>
    <row r="250" spans="1:28" ht="15" hidden="1">
      <c r="A250" s="151"/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  <c r="AA250" s="151"/>
      <c r="AB250" s="151"/>
    </row>
    <row r="251" spans="1:28" ht="15" hidden="1">
      <c r="A251" s="151"/>
      <c r="B251" s="151"/>
      <c r="C251" s="151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  <c r="AA251" s="151"/>
      <c r="AB251" s="151"/>
    </row>
    <row r="252" spans="1:28" ht="15" hidden="1">
      <c r="A252" s="151"/>
      <c r="B252" s="151"/>
      <c r="C252" s="151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  <c r="AA252" s="151"/>
      <c r="AB252" s="151"/>
    </row>
    <row r="253" spans="1:28" ht="15" hidden="1">
      <c r="A253" s="151"/>
      <c r="B253" s="151"/>
      <c r="C253" s="151"/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  <c r="AA253" s="151"/>
      <c r="AB253" s="151"/>
    </row>
    <row r="254" spans="1:28" ht="15" hidden="1">
      <c r="A254" s="151"/>
      <c r="B254" s="151"/>
      <c r="C254" s="151"/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  <c r="AA254" s="151"/>
      <c r="AB254" s="151"/>
    </row>
    <row r="255" spans="1:28" ht="15" hidden="1">
      <c r="A255" s="151"/>
      <c r="B255" s="151"/>
      <c r="C255" s="151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1"/>
    </row>
    <row r="256" spans="1:28" ht="15" hidden="1">
      <c r="A256" s="151"/>
      <c r="B256" s="151"/>
      <c r="C256" s="151"/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</row>
    <row r="257" spans="1:28" ht="15" hidden="1">
      <c r="A257" s="151"/>
      <c r="B257" s="151"/>
      <c r="C257" s="151"/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</row>
    <row r="258" spans="1:28" ht="15" hidden="1">
      <c r="A258" s="151"/>
      <c r="B258" s="151"/>
      <c r="C258" s="151"/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</row>
    <row r="259" spans="1:28" ht="15" hidden="1">
      <c r="A259" s="151"/>
      <c r="B259" s="151"/>
      <c r="C259" s="151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</row>
    <row r="260" spans="1:28" ht="15" hidden="1">
      <c r="A260" s="151"/>
      <c r="B260" s="151"/>
      <c r="C260" s="151"/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  <c r="AA260" s="151"/>
      <c r="AB260" s="151"/>
    </row>
    <row r="261" spans="1:28" ht="15" hidden="1">
      <c r="A261" s="151"/>
      <c r="B261" s="151"/>
      <c r="C261" s="151"/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</row>
    <row r="262" spans="1:28" ht="15" hidden="1">
      <c r="A262" s="151"/>
      <c r="B262" s="151"/>
      <c r="C262" s="151"/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</row>
    <row r="263" spans="1:28" ht="15" hidden="1">
      <c r="A263" s="151"/>
      <c r="B263" s="151"/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</row>
    <row r="264" spans="1:28" ht="15" hidden="1">
      <c r="A264" s="151"/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  <c r="AA264" s="151"/>
      <c r="AB264" s="151"/>
    </row>
    <row r="265" spans="1:28" ht="15" hidden="1">
      <c r="A265" s="151"/>
      <c r="B265" s="151"/>
      <c r="C265" s="151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  <c r="AA265" s="151"/>
      <c r="AB265" s="151"/>
    </row>
    <row r="266" spans="1:28" ht="15" hidden="1">
      <c r="A266" s="151"/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</row>
    <row r="267" spans="1:28" ht="15" hidden="1">
      <c r="A267" s="151"/>
      <c r="B267" s="151"/>
      <c r="C267" s="151"/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</row>
    <row r="268" spans="1:28" ht="15" hidden="1">
      <c r="A268" s="151"/>
      <c r="B268" s="151"/>
      <c r="C268" s="151"/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  <c r="AA268" s="151"/>
      <c r="AB268" s="151"/>
    </row>
    <row r="269" spans="1:28" ht="15" hidden="1">
      <c r="A269" s="151"/>
      <c r="B269" s="151"/>
      <c r="C269" s="151"/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  <c r="AA269" s="151"/>
      <c r="AB269" s="151"/>
    </row>
    <row r="270" spans="1:28" ht="15" hidden="1">
      <c r="A270" s="151"/>
      <c r="B270" s="151"/>
      <c r="C270" s="151"/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  <c r="AA270" s="151"/>
      <c r="AB270" s="151"/>
    </row>
    <row r="271" spans="1:28" ht="15" hidden="1">
      <c r="A271" s="151"/>
      <c r="B271" s="151"/>
      <c r="C271" s="151"/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  <c r="AA271" s="151"/>
      <c r="AB271" s="151"/>
    </row>
    <row r="272" spans="1:28" ht="15" hidden="1">
      <c r="A272" s="151"/>
      <c r="B272" s="151"/>
      <c r="C272" s="151"/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  <c r="AA272" s="151"/>
      <c r="AB272" s="151"/>
    </row>
    <row r="273" spans="1:28" ht="15" hidden="1">
      <c r="A273" s="151"/>
      <c r="B273" s="151"/>
      <c r="C273" s="151"/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</row>
    <row r="274" spans="1:28" ht="15" hidden="1">
      <c r="A274" s="151"/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  <c r="AA274" s="151"/>
      <c r="AB274" s="151"/>
    </row>
    <row r="275" spans="1:28" ht="15" hidden="1">
      <c r="A275" s="151"/>
      <c r="B275" s="151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  <c r="AA275" s="151"/>
      <c r="AB275" s="151"/>
    </row>
    <row r="276" spans="1:28" ht="15" hidden="1">
      <c r="A276" s="151"/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</row>
    <row r="277" spans="1:28" ht="15" hidden="1">
      <c r="A277" s="151"/>
      <c r="B277" s="151"/>
      <c r="C277" s="151"/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</row>
    <row r="278" spans="1:28" ht="15" hidden="1">
      <c r="A278" s="151"/>
      <c r="B278" s="151"/>
      <c r="C278" s="151"/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</row>
    <row r="279" spans="1:28" ht="15" hidden="1">
      <c r="A279" s="151"/>
      <c r="B279" s="151"/>
      <c r="C279" s="151"/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</row>
    <row r="280" spans="1:28" ht="15" hidden="1">
      <c r="A280" s="151"/>
      <c r="B280" s="151"/>
      <c r="C280" s="151"/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</row>
    <row r="281" spans="1:28" ht="15" hidden="1">
      <c r="A281" s="151"/>
      <c r="B281" s="151"/>
      <c r="C281" s="151"/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</row>
    <row r="282" spans="1:28" ht="15" hidden="1">
      <c r="A282" s="151"/>
      <c r="B282" s="151"/>
      <c r="C282" s="151"/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</row>
    <row r="283" spans="1:28" ht="15" hidden="1">
      <c r="A283" s="151"/>
      <c r="B283" s="151"/>
      <c r="C283" s="151"/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</row>
    <row r="284" spans="1:28" ht="15" hidden="1">
      <c r="A284" s="151"/>
      <c r="B284" s="151"/>
      <c r="C284" s="151"/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</row>
    <row r="285" spans="1:28" ht="15" hidden="1">
      <c r="A285" s="151"/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</row>
    <row r="286" spans="1:28" ht="15" hidden="1">
      <c r="A286" s="151"/>
      <c r="B286" s="151"/>
      <c r="C286" s="151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  <c r="AA286" s="151"/>
      <c r="AB286" s="151"/>
    </row>
    <row r="287" spans="1:28" ht="15" hidden="1">
      <c r="A287" s="151"/>
      <c r="B287" s="151"/>
      <c r="C287" s="151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  <c r="AA287" s="151"/>
      <c r="AB287" s="151"/>
    </row>
    <row r="288" spans="1:28" ht="15" hidden="1">
      <c r="A288" s="151"/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  <c r="AA288" s="151"/>
      <c r="AB288" s="151"/>
    </row>
    <row r="289" spans="1:28" ht="15" hidden="1">
      <c r="A289" s="151"/>
      <c r="B289" s="151"/>
      <c r="C289" s="151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  <c r="AA289" s="151"/>
      <c r="AB289" s="151"/>
    </row>
    <row r="290" spans="1:28" ht="15" hidden="1">
      <c r="A290" s="151"/>
      <c r="B290" s="151"/>
      <c r="C290" s="151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  <c r="AA290" s="151"/>
      <c r="AB290" s="151"/>
    </row>
    <row r="291" spans="1:28" ht="15" hidden="1">
      <c r="A291" s="151"/>
      <c r="B291" s="151"/>
      <c r="C291" s="151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  <c r="AA291" s="151"/>
      <c r="AB291" s="151"/>
    </row>
    <row r="292" spans="1:28" ht="15" hidden="1">
      <c r="A292" s="151"/>
      <c r="B292" s="151"/>
      <c r="C292" s="151"/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  <c r="AA292" s="151"/>
      <c r="AB292" s="151"/>
    </row>
    <row r="293" spans="1:28" ht="15" hidden="1">
      <c r="A293" s="151"/>
      <c r="B293" s="151"/>
      <c r="C293" s="151"/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  <c r="AA293" s="151"/>
      <c r="AB293" s="151"/>
    </row>
    <row r="294" spans="1:28" ht="15" hidden="1">
      <c r="A294" s="151"/>
      <c r="B294" s="151"/>
      <c r="C294" s="151"/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  <c r="AA294" s="151"/>
      <c r="AB294" s="151"/>
    </row>
    <row r="295" spans="1:28" ht="15" hidden="1">
      <c r="A295" s="151"/>
      <c r="B295" s="151"/>
      <c r="C295" s="151"/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  <c r="AA295" s="151"/>
      <c r="AB295" s="151"/>
    </row>
    <row r="296" spans="1:28" ht="15" hidden="1">
      <c r="A296" s="151"/>
      <c r="B296" s="151"/>
      <c r="C296" s="151"/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  <c r="AA296" s="151"/>
      <c r="AB296" s="151"/>
    </row>
    <row r="297" spans="1:28" ht="15" hidden="1">
      <c r="A297" s="151"/>
      <c r="B297" s="151"/>
      <c r="C297" s="151"/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  <c r="AA297" s="151"/>
      <c r="AB297" s="151"/>
    </row>
    <row r="298" spans="1:28" ht="15" hidden="1">
      <c r="A298" s="151"/>
      <c r="B298" s="151"/>
      <c r="C298" s="151"/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  <c r="AA298" s="151"/>
      <c r="AB298" s="151"/>
    </row>
    <row r="299" spans="1:28" ht="15" hidden="1">
      <c r="A299" s="151"/>
      <c r="B299" s="151"/>
      <c r="C299" s="151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  <c r="AA299" s="151"/>
      <c r="AB299" s="151"/>
    </row>
    <row r="300" spans="1:28" ht="15" hidden="1">
      <c r="A300" s="151"/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  <c r="AA300" s="151"/>
      <c r="AB300" s="151"/>
    </row>
    <row r="301" spans="1:28" ht="15" hidden="1">
      <c r="A301" s="151"/>
      <c r="B301" s="151"/>
      <c r="C301" s="151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  <c r="AA301" s="151"/>
      <c r="AB301" s="151"/>
    </row>
    <row r="302" spans="1:28" ht="15" hidden="1">
      <c r="A302" s="151"/>
      <c r="B302" s="151"/>
      <c r="C302" s="151"/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  <c r="AA302" s="151"/>
      <c r="AB302" s="151"/>
    </row>
    <row r="303" spans="1:28" ht="15" hidden="1">
      <c r="A303" s="151"/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  <c r="AA303" s="151"/>
      <c r="AB303" s="151"/>
    </row>
    <row r="304" spans="1:28" ht="15" hidden="1">
      <c r="A304" s="151"/>
      <c r="B304" s="151"/>
      <c r="C304" s="151"/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  <c r="AA304" s="151"/>
      <c r="AB304" s="151"/>
    </row>
    <row r="305" spans="1:28" ht="15" hidden="1">
      <c r="A305" s="151"/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  <c r="AA305" s="151"/>
      <c r="AB305" s="151"/>
    </row>
    <row r="306" spans="1:28" ht="15" hidden="1">
      <c r="A306" s="151"/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  <c r="AA306" s="151"/>
      <c r="AB306" s="151"/>
    </row>
    <row r="307" spans="1:28" ht="15" hidden="1">
      <c r="A307" s="151"/>
      <c r="B307" s="151"/>
      <c r="C307" s="151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  <c r="AA307" s="151"/>
      <c r="AB307" s="151"/>
    </row>
    <row r="308" spans="1:28" ht="15" hidden="1">
      <c r="A308" s="151"/>
      <c r="B308" s="151"/>
      <c r="C308" s="151"/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  <c r="AA308" s="151"/>
      <c r="AB308" s="151"/>
    </row>
    <row r="309" spans="1:28" ht="15" hidden="1">
      <c r="A309" s="151"/>
      <c r="B309" s="151"/>
      <c r="C309" s="151"/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  <c r="AA309" s="151"/>
      <c r="AB309" s="151"/>
    </row>
    <row r="310" spans="1:28" ht="15" hidden="1">
      <c r="A310" s="151"/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  <c r="AA310" s="151"/>
      <c r="AB310" s="151"/>
    </row>
    <row r="311" spans="1:28" ht="15" hidden="1">
      <c r="A311" s="151"/>
      <c r="B311" s="151"/>
      <c r="C311" s="151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</row>
    <row r="312" spans="1:28" ht="15" hidden="1">
      <c r="A312" s="151"/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  <c r="AA312" s="151"/>
      <c r="AB312" s="151"/>
    </row>
    <row r="313" spans="1:28" ht="15" hidden="1">
      <c r="A313" s="151"/>
      <c r="B313" s="151"/>
      <c r="C313" s="151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  <c r="AA313" s="151"/>
      <c r="AB313" s="151"/>
    </row>
    <row r="314" spans="1:28" ht="15" hidden="1">
      <c r="A314" s="151"/>
      <c r="B314" s="151"/>
      <c r="C314" s="151"/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  <c r="AA314" s="151"/>
      <c r="AB314" s="151"/>
    </row>
    <row r="315" spans="1:28" ht="15" hidden="1">
      <c r="A315" s="151"/>
      <c r="B315" s="151"/>
      <c r="C315" s="151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1"/>
      <c r="AB315" s="151"/>
    </row>
    <row r="316" spans="1:28" ht="15" hidden="1">
      <c r="A316" s="151"/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1"/>
      <c r="AB316" s="151"/>
    </row>
    <row r="317" spans="1:28" ht="15" hidden="1">
      <c r="A317" s="151"/>
      <c r="B317" s="151"/>
      <c r="C317" s="151"/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1"/>
      <c r="AB317" s="151"/>
    </row>
    <row r="318" spans="1:28" ht="15" hidden="1">
      <c r="A318" s="151"/>
      <c r="B318" s="151"/>
      <c r="C318" s="151"/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1"/>
      <c r="AB318" s="151"/>
    </row>
    <row r="319" spans="1:28" ht="15" hidden="1">
      <c r="A319" s="151"/>
      <c r="B319" s="151"/>
      <c r="C319" s="151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</row>
    <row r="320" spans="1:28" ht="15" hidden="1">
      <c r="A320" s="151"/>
      <c r="B320" s="151"/>
      <c r="C320" s="151"/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</row>
    <row r="321" spans="1:28" ht="15" hidden="1">
      <c r="A321" s="151"/>
      <c r="B321" s="151"/>
      <c r="C321" s="151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  <c r="AA321" s="151"/>
      <c r="AB321" s="151"/>
    </row>
    <row r="322" spans="1:28" ht="15" hidden="1">
      <c r="A322" s="151"/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  <c r="AA322" s="151"/>
      <c r="AB322" s="151"/>
    </row>
    <row r="323" spans="1:28" ht="15" hidden="1">
      <c r="A323" s="151"/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  <c r="AA323" s="151"/>
      <c r="AB323" s="151"/>
    </row>
    <row r="324" spans="1:28" ht="15" hidden="1">
      <c r="A324" s="151"/>
      <c r="B324" s="151"/>
      <c r="C324" s="151"/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  <c r="AA324" s="151"/>
      <c r="AB324" s="151"/>
    </row>
    <row r="325" spans="1:28" ht="15" hidden="1">
      <c r="A325" s="151"/>
      <c r="B325" s="151"/>
      <c r="C325" s="151"/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  <c r="AA325" s="151"/>
      <c r="AB325" s="151"/>
    </row>
    <row r="326" spans="1:28" ht="15" hidden="1">
      <c r="A326" s="151"/>
      <c r="B326" s="151"/>
      <c r="C326" s="151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  <c r="AA326" s="151"/>
      <c r="AB326" s="151"/>
    </row>
    <row r="327" spans="1:28" ht="15" hidden="1">
      <c r="A327" s="151"/>
      <c r="B327" s="151"/>
      <c r="C327" s="151"/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  <c r="AA327" s="151"/>
      <c r="AB327" s="151"/>
    </row>
    <row r="328" spans="1:28" ht="15" hidden="1">
      <c r="A328" s="151"/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  <c r="AA328" s="151"/>
      <c r="AB328" s="151"/>
    </row>
    <row r="329" spans="1:28" ht="15" hidden="1">
      <c r="A329" s="151"/>
      <c r="B329" s="151"/>
      <c r="C329" s="151"/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  <c r="AA329" s="151"/>
      <c r="AB329" s="151"/>
    </row>
    <row r="330" spans="1:28" ht="15" hidden="1">
      <c r="A330" s="151"/>
      <c r="B330" s="151"/>
      <c r="C330" s="151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  <c r="AA330" s="151"/>
      <c r="AB330" s="151"/>
    </row>
    <row r="331" spans="1:28" ht="15" hidden="1">
      <c r="A331" s="151"/>
      <c r="B331" s="151"/>
      <c r="C331" s="151"/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  <c r="AA331" s="151"/>
      <c r="AB331" s="151"/>
    </row>
    <row r="332" spans="1:28" ht="15" hidden="1">
      <c r="A332" s="151"/>
      <c r="B332" s="151"/>
      <c r="C332" s="151"/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  <c r="AA332" s="151"/>
      <c r="AB332" s="151"/>
    </row>
    <row r="333" spans="1:28" ht="15" hidden="1">
      <c r="A333" s="151"/>
      <c r="B333" s="151"/>
      <c r="C333" s="151"/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  <c r="AA333" s="151"/>
      <c r="AB333" s="151"/>
    </row>
    <row r="334" spans="1:28" ht="15" hidden="1">
      <c r="A334" s="151"/>
      <c r="B334" s="151"/>
      <c r="C334" s="151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  <c r="AA334" s="151"/>
      <c r="AB334" s="151"/>
    </row>
    <row r="335" spans="1:28" ht="15" hidden="1">
      <c r="A335" s="151"/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  <c r="AA335" s="151"/>
      <c r="AB335" s="151"/>
    </row>
    <row r="336" spans="1:28" ht="15" hidden="1">
      <c r="A336" s="151"/>
      <c r="B336" s="151"/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  <c r="AA336" s="151"/>
      <c r="AB336" s="151"/>
    </row>
    <row r="337" spans="1:28" ht="15" hidden="1">
      <c r="A337" s="151"/>
      <c r="B337" s="151"/>
      <c r="C337" s="151"/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  <c r="AA337" s="151"/>
      <c r="AB337" s="151"/>
    </row>
    <row r="338" spans="1:28" ht="15" hidden="1">
      <c r="A338" s="151"/>
      <c r="B338" s="151"/>
      <c r="C338" s="151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  <c r="AA338" s="151"/>
      <c r="AB338" s="151"/>
    </row>
    <row r="339" spans="1:28" ht="15" hidden="1">
      <c r="A339" s="151"/>
      <c r="B339" s="151"/>
      <c r="C339" s="151"/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  <c r="AA339" s="151"/>
      <c r="AB339" s="151"/>
    </row>
    <row r="340" spans="1:28" ht="15" hidden="1">
      <c r="A340" s="151"/>
      <c r="B340" s="151"/>
      <c r="C340" s="151"/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  <c r="AA340" s="151"/>
      <c r="AB340" s="151"/>
    </row>
    <row r="341" spans="1:28" ht="15" hidden="1">
      <c r="A341" s="151"/>
      <c r="B341" s="151"/>
      <c r="C341" s="151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  <c r="AA341" s="151"/>
      <c r="AB341" s="151"/>
    </row>
    <row r="342" spans="1:28" ht="15" hidden="1">
      <c r="A342" s="151"/>
      <c r="B342" s="151"/>
      <c r="C342" s="151"/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  <c r="AA342" s="151"/>
      <c r="AB342" s="151"/>
    </row>
    <row r="343" spans="1:28" ht="15" hidden="1">
      <c r="A343" s="151"/>
      <c r="B343" s="151"/>
      <c r="C343" s="151"/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  <c r="AA343" s="151"/>
      <c r="AB343" s="151"/>
    </row>
    <row r="344" spans="1:28" ht="15" hidden="1">
      <c r="A344" s="151"/>
      <c r="B344" s="151"/>
      <c r="C344" s="151"/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  <c r="AA344" s="151"/>
      <c r="AB344" s="151"/>
    </row>
    <row r="345" spans="1:28" ht="15" hidden="1">
      <c r="A345" s="151"/>
      <c r="B345" s="151"/>
      <c r="C345" s="151"/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  <c r="AA345" s="151"/>
      <c r="AB345" s="151"/>
    </row>
    <row r="346" spans="1:28" ht="15" hidden="1">
      <c r="A346" s="151"/>
      <c r="B346" s="151"/>
      <c r="C346" s="151"/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  <c r="AA346" s="151"/>
      <c r="AB346" s="151"/>
    </row>
    <row r="347" spans="1:28" ht="15" hidden="1">
      <c r="A347" s="151"/>
      <c r="B347" s="151"/>
      <c r="C347" s="151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  <c r="AA347" s="151"/>
      <c r="AB347" s="151"/>
    </row>
    <row r="348" spans="1:28" ht="15" hidden="1">
      <c r="A348" s="151"/>
      <c r="B348" s="151"/>
      <c r="C348" s="151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  <c r="AA348" s="151"/>
      <c r="AB348" s="151"/>
    </row>
    <row r="349" spans="1:28" ht="15" hidden="1">
      <c r="A349" s="151"/>
      <c r="B349" s="151"/>
      <c r="C349" s="151"/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  <c r="AA349" s="151"/>
      <c r="AB349" s="151"/>
    </row>
    <row r="350" spans="1:28" ht="15" hidden="1">
      <c r="A350" s="151"/>
      <c r="B350" s="151"/>
      <c r="C350" s="151"/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  <c r="AA350" s="151"/>
      <c r="AB350" s="151"/>
    </row>
    <row r="351" spans="1:28" ht="15" hidden="1">
      <c r="A351" s="151"/>
      <c r="B351" s="151"/>
      <c r="C351" s="151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  <c r="AA351" s="151"/>
      <c r="AB351" s="151"/>
    </row>
    <row r="352" spans="1:28" ht="15" hidden="1">
      <c r="A352" s="151"/>
      <c r="B352" s="151"/>
      <c r="C352" s="151"/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  <c r="AA352" s="151"/>
      <c r="AB352" s="151"/>
    </row>
    <row r="353" spans="1:28" ht="15" hidden="1">
      <c r="A353" s="151"/>
      <c r="B353" s="151"/>
      <c r="C353" s="151"/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  <c r="AA353" s="151"/>
      <c r="AB353" s="151"/>
    </row>
    <row r="354" spans="1:28" ht="15" hidden="1">
      <c r="A354" s="151"/>
      <c r="B354" s="151"/>
      <c r="C354" s="151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  <c r="AA354" s="151"/>
      <c r="AB354" s="151"/>
    </row>
    <row r="355" spans="1:28" ht="15" hidden="1">
      <c r="A355" s="151"/>
      <c r="B355" s="151"/>
      <c r="C355" s="151"/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  <c r="AA355" s="151"/>
      <c r="AB355" s="151"/>
    </row>
    <row r="356" spans="1:28" ht="15" hidden="1">
      <c r="A356" s="151"/>
      <c r="B356" s="151"/>
      <c r="C356" s="151"/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  <c r="AA356" s="151"/>
      <c r="AB356" s="151"/>
    </row>
    <row r="357" spans="1:28" ht="15" hidden="1">
      <c r="A357" s="151"/>
      <c r="B357" s="151"/>
      <c r="C357" s="151"/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  <c r="AA357" s="151"/>
      <c r="AB357" s="151"/>
    </row>
    <row r="358" spans="1:28" ht="15" hidden="1">
      <c r="A358" s="151"/>
      <c r="B358" s="151"/>
      <c r="C358" s="151"/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  <c r="AA358" s="151"/>
      <c r="AB358" s="151"/>
    </row>
    <row r="359" spans="1:28" ht="15" hidden="1">
      <c r="A359" s="151"/>
      <c r="B359" s="151"/>
      <c r="C359" s="151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  <c r="AA359" s="151"/>
      <c r="AB359" s="151"/>
    </row>
    <row r="360" spans="1:28" ht="15" hidden="1">
      <c r="A360" s="151"/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  <c r="AA360" s="151"/>
      <c r="AB360" s="151"/>
    </row>
    <row r="361" spans="1:28" ht="15" hidden="1">
      <c r="A361" s="151"/>
      <c r="B361" s="151"/>
      <c r="C361" s="151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  <c r="AA361" s="151"/>
      <c r="AB361" s="151"/>
    </row>
    <row r="362" spans="1:28" ht="15" hidden="1">
      <c r="A362" s="151"/>
      <c r="B362" s="151"/>
      <c r="C362" s="151"/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  <c r="AA362" s="151"/>
      <c r="AB362" s="151"/>
    </row>
    <row r="363" spans="1:28" ht="15" hidden="1">
      <c r="A363" s="151"/>
      <c r="B363" s="151"/>
      <c r="C363" s="151"/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  <c r="AA363" s="151"/>
      <c r="AB363" s="151"/>
    </row>
    <row r="364" spans="1:28" ht="15" hidden="1">
      <c r="A364" s="151"/>
      <c r="B364" s="151"/>
      <c r="C364" s="151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  <c r="AA364" s="151"/>
      <c r="AB364" s="151"/>
    </row>
    <row r="365" spans="1:28" ht="15" hidden="1">
      <c r="A365" s="151"/>
      <c r="B365" s="151"/>
      <c r="C365" s="151"/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  <c r="AA365" s="151"/>
      <c r="AB365" s="151"/>
    </row>
    <row r="366" spans="1:28" ht="15" hidden="1">
      <c r="A366" s="151"/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  <c r="AA366" s="151"/>
      <c r="AB366" s="151"/>
    </row>
    <row r="367" spans="1:28" ht="15" hidden="1">
      <c r="A367" s="151"/>
      <c r="B367" s="151"/>
      <c r="C367" s="151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  <c r="AA367" s="151"/>
      <c r="AB367" s="151"/>
    </row>
    <row r="368" spans="1:28" ht="15" hidden="1">
      <c r="A368" s="151"/>
      <c r="B368" s="151"/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  <c r="AA368" s="151"/>
      <c r="AB368" s="151"/>
    </row>
    <row r="369" spans="1:28" ht="15" hidden="1">
      <c r="A369" s="151"/>
      <c r="B369" s="151"/>
      <c r="C369" s="151"/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  <c r="AA369" s="151"/>
      <c r="AB369" s="151"/>
    </row>
    <row r="370" spans="1:28" ht="15" hidden="1">
      <c r="A370" s="151"/>
      <c r="B370" s="151"/>
      <c r="C370" s="151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  <c r="AA370" s="151"/>
      <c r="AB370" s="151"/>
    </row>
    <row r="371" spans="1:28" ht="15" hidden="1">
      <c r="A371" s="151"/>
      <c r="B371" s="151"/>
      <c r="C371" s="151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</row>
    <row r="372" spans="1:28" ht="15" hidden="1">
      <c r="A372" s="151"/>
      <c r="B372" s="151"/>
      <c r="C372" s="151"/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  <c r="AA372" s="151"/>
      <c r="AB372" s="151"/>
    </row>
    <row r="373" spans="1:28" ht="15" hidden="1">
      <c r="A373" s="151"/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1"/>
    </row>
    <row r="374" spans="1:28" ht="15" hidden="1">
      <c r="A374" s="151"/>
      <c r="B374" s="151"/>
      <c r="C374" s="151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</row>
    <row r="375" spans="1:28" ht="15" hidden="1">
      <c r="A375" s="151"/>
      <c r="B375" s="151"/>
      <c r="C375" s="151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  <c r="AA375" s="151"/>
      <c r="AB375" s="151"/>
    </row>
    <row r="376" spans="1:28" ht="15" hidden="1">
      <c r="A376" s="151"/>
      <c r="B376" s="151"/>
      <c r="C376" s="151"/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  <c r="AA376" s="151"/>
      <c r="AB376" s="151"/>
    </row>
    <row r="377" spans="1:28" ht="15" hidden="1">
      <c r="A377" s="151"/>
      <c r="B377" s="151"/>
      <c r="C377" s="151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  <c r="AA377" s="151"/>
      <c r="AB377" s="151"/>
    </row>
    <row r="378" spans="1:28" ht="15" hidden="1">
      <c r="A378" s="151"/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  <c r="AA378" s="151"/>
      <c r="AB378" s="151"/>
    </row>
    <row r="379" spans="1:28" ht="15" hidden="1">
      <c r="A379" s="151"/>
      <c r="B379" s="151"/>
      <c r="C379" s="151"/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  <c r="AA379" s="151"/>
      <c r="AB379" s="151"/>
    </row>
    <row r="380" spans="1:28" ht="15" hidden="1">
      <c r="A380" s="151"/>
      <c r="B380" s="151"/>
      <c r="C380" s="151"/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  <c r="AA380" s="151"/>
      <c r="AB380" s="151"/>
    </row>
    <row r="381" spans="1:28" ht="15" hidden="1">
      <c r="A381" s="151"/>
      <c r="B381" s="151"/>
      <c r="C381" s="151"/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  <c r="AA381" s="151"/>
      <c r="AB381" s="151"/>
    </row>
    <row r="382" spans="1:28" ht="15" hidden="1">
      <c r="A382" s="151"/>
      <c r="B382" s="151"/>
      <c r="C382" s="151"/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  <c r="AA382" s="151"/>
      <c r="AB382" s="151"/>
    </row>
    <row r="383" spans="1:28" ht="15" hidden="1">
      <c r="A383" s="151"/>
      <c r="B383" s="151"/>
      <c r="C383" s="151"/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  <c r="AA383" s="151"/>
      <c r="AB383" s="151"/>
    </row>
    <row r="384" spans="1:28" ht="15" hidden="1">
      <c r="A384" s="151"/>
      <c r="B384" s="151"/>
      <c r="C384" s="151"/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  <c r="AA384" s="151"/>
      <c r="AB384" s="151"/>
    </row>
    <row r="385" spans="1:28" ht="15" hidden="1">
      <c r="A385" s="151"/>
      <c r="B385" s="151"/>
      <c r="C385" s="151"/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</row>
    <row r="386" spans="1:28" ht="15" hidden="1">
      <c r="A386" s="151"/>
      <c r="B386" s="151"/>
      <c r="C386" s="151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</row>
    <row r="387" spans="1:28" ht="15" hidden="1">
      <c r="A387" s="151"/>
      <c r="B387" s="151"/>
      <c r="C387" s="151"/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</row>
    <row r="388" spans="1:28" ht="15" hidden="1">
      <c r="A388" s="151"/>
      <c r="B388" s="151"/>
      <c r="C388" s="151"/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</row>
    <row r="389" spans="1:28" ht="15" hidden="1">
      <c r="A389" s="151"/>
      <c r="B389" s="151"/>
      <c r="C389" s="151"/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</row>
    <row r="390" spans="1:28" ht="15" hidden="1">
      <c r="A390" s="151"/>
      <c r="B390" s="151"/>
      <c r="C390" s="151"/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</row>
    <row r="391" spans="1:28" ht="15" hidden="1">
      <c r="A391" s="151"/>
      <c r="B391" s="151"/>
      <c r="C391" s="151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</row>
    <row r="392" spans="1:28" ht="15" hidden="1">
      <c r="A392" s="151"/>
      <c r="B392" s="151"/>
      <c r="C392" s="151"/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</row>
    <row r="393" spans="1:28" ht="15" hidden="1">
      <c r="A393" s="151"/>
      <c r="B393" s="151"/>
      <c r="C393" s="151"/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</row>
    <row r="394" spans="1:28" ht="15" hidden="1">
      <c r="A394" s="151"/>
      <c r="B394" s="151"/>
      <c r="C394" s="151"/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  <c r="AA394" s="151"/>
      <c r="AB394" s="151"/>
    </row>
    <row r="395" spans="1:28" ht="15" hidden="1">
      <c r="A395" s="151"/>
      <c r="B395" s="151"/>
      <c r="C395" s="151"/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  <c r="AA395" s="151"/>
      <c r="AB395" s="151"/>
    </row>
    <row r="396" spans="1:28" ht="15" hidden="1">
      <c r="A396" s="151"/>
      <c r="B396" s="151"/>
      <c r="C396" s="151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  <c r="AA396" s="151"/>
      <c r="AB396" s="151"/>
    </row>
    <row r="397" spans="1:28" ht="15" hidden="1">
      <c r="A397" s="151"/>
      <c r="B397" s="151"/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</row>
    <row r="398" spans="1:28" ht="15" hidden="1">
      <c r="A398" s="151"/>
      <c r="B398" s="151"/>
      <c r="C398" s="151"/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  <c r="AA398" s="151"/>
      <c r="AB398" s="151"/>
    </row>
    <row r="399" spans="1:28" ht="15" hidden="1">
      <c r="A399" s="151"/>
      <c r="B399" s="151"/>
      <c r="C399" s="151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  <c r="AA399" s="151"/>
      <c r="AB399" s="151"/>
    </row>
    <row r="400" spans="1:28" ht="15" hidden="1">
      <c r="A400" s="151"/>
      <c r="B400" s="151"/>
      <c r="C400" s="151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  <c r="AA400" s="151"/>
      <c r="AB400" s="151"/>
    </row>
    <row r="401" spans="1:28" ht="15" hidden="1">
      <c r="A401" s="151"/>
      <c r="B401" s="151"/>
      <c r="C401" s="151"/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  <c r="AA401" s="151"/>
      <c r="AB401" s="151"/>
    </row>
    <row r="402" spans="1:28" ht="15" hidden="1">
      <c r="A402" s="151"/>
      <c r="B402" s="151"/>
      <c r="C402" s="151"/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  <c r="AA402" s="151"/>
      <c r="AB402" s="151"/>
    </row>
    <row r="403" spans="1:28" ht="15" hidden="1">
      <c r="A403" s="151"/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  <c r="AA403" s="151"/>
      <c r="AB403" s="151"/>
    </row>
    <row r="404" spans="1:28" ht="15" hidden="1">
      <c r="A404" s="151"/>
      <c r="B404" s="151"/>
      <c r="C404" s="151"/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  <c r="AA404" s="151"/>
      <c r="AB404" s="151"/>
    </row>
    <row r="405" spans="1:28" ht="15" hidden="1">
      <c r="A405" s="151"/>
      <c r="B405" s="151"/>
      <c r="C405" s="151"/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  <c r="AA405" s="151"/>
      <c r="AB405" s="151"/>
    </row>
    <row r="406" spans="1:28" ht="15" hidden="1">
      <c r="A406" s="151"/>
      <c r="B406" s="151"/>
      <c r="C406" s="151"/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  <c r="AA406" s="151"/>
      <c r="AB406" s="151"/>
    </row>
    <row r="407" spans="1:28" ht="15" hidden="1">
      <c r="A407" s="151"/>
      <c r="B407" s="151"/>
      <c r="C407" s="151"/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  <c r="AA407" s="151"/>
      <c r="AB407" s="151"/>
    </row>
    <row r="408" spans="1:28" ht="15" hidden="1">
      <c r="A408" s="151"/>
      <c r="B408" s="151"/>
      <c r="C408" s="151"/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  <c r="AA408" s="151"/>
      <c r="AB408" s="151"/>
    </row>
    <row r="409" spans="1:28" ht="15" hidden="1">
      <c r="A409" s="151"/>
      <c r="B409" s="151"/>
      <c r="C409" s="151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  <c r="AA409" s="151"/>
      <c r="AB409" s="151"/>
    </row>
    <row r="410" spans="1:28" ht="15" hidden="1">
      <c r="A410" s="151"/>
      <c r="B410" s="151"/>
      <c r="C410" s="151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  <c r="AA410" s="151"/>
      <c r="AB410" s="151"/>
    </row>
    <row r="411" spans="1:28" ht="15" hidden="1">
      <c r="A411" s="151"/>
      <c r="B411" s="151"/>
      <c r="C411" s="151"/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  <c r="AA411" s="151"/>
      <c r="AB411" s="151"/>
    </row>
    <row r="412" spans="1:28" ht="15" hidden="1">
      <c r="A412" s="151"/>
      <c r="B412" s="151"/>
      <c r="C412" s="151"/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  <c r="AA412" s="151"/>
      <c r="AB412" s="151"/>
    </row>
    <row r="413" spans="1:28" ht="15" hidden="1">
      <c r="A413" s="151"/>
      <c r="B413" s="151"/>
      <c r="C413" s="151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  <c r="AA413" s="151"/>
      <c r="AB413" s="151"/>
    </row>
    <row r="414" spans="1:28" ht="15" hidden="1">
      <c r="A414" s="151"/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  <c r="AA414" s="151"/>
      <c r="AB414" s="151"/>
    </row>
    <row r="415" spans="1:28" ht="15" hidden="1">
      <c r="A415" s="151"/>
      <c r="B415" s="151"/>
      <c r="C415" s="151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  <c r="AA415" s="151"/>
      <c r="AB415" s="151"/>
    </row>
    <row r="416" spans="1:28" ht="15" hidden="1">
      <c r="A416" s="151"/>
      <c r="B416" s="151"/>
      <c r="C416" s="151"/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  <c r="AA416" s="151"/>
      <c r="AB416" s="151"/>
    </row>
    <row r="417" spans="1:28" ht="15" hidden="1">
      <c r="A417" s="151"/>
      <c r="B417" s="151"/>
      <c r="C417" s="151"/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  <c r="AA417" s="151"/>
      <c r="AB417" s="151"/>
    </row>
    <row r="418" spans="1:28" ht="15" hidden="1">
      <c r="A418" s="151"/>
      <c r="B418" s="151"/>
      <c r="C418" s="151"/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  <c r="AA418" s="151"/>
      <c r="AB418" s="151"/>
    </row>
    <row r="419" spans="1:28" ht="15" hidden="1">
      <c r="A419" s="151"/>
      <c r="B419" s="151"/>
      <c r="C419" s="151"/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  <c r="AA419" s="151"/>
      <c r="AB419" s="151"/>
    </row>
    <row r="420" spans="1:28" ht="15" hidden="1">
      <c r="A420" s="151"/>
      <c r="B420" s="151"/>
      <c r="C420" s="151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  <c r="AA420" s="151"/>
      <c r="AB420" s="151"/>
    </row>
    <row r="421" spans="1:28" ht="15" hidden="1">
      <c r="A421" s="151"/>
      <c r="B421" s="151"/>
      <c r="C421" s="151"/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  <c r="AA421" s="151"/>
      <c r="AB421" s="151"/>
    </row>
    <row r="422" spans="1:28" ht="15" hidden="1">
      <c r="A422" s="151"/>
      <c r="B422" s="151"/>
      <c r="C422" s="151"/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  <c r="AA422" s="151"/>
      <c r="AB422" s="151"/>
    </row>
    <row r="423" spans="1:28" ht="15" hidden="1">
      <c r="A423" s="151"/>
      <c r="B423" s="151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  <c r="AA423" s="151"/>
      <c r="AB423" s="151"/>
    </row>
    <row r="424" spans="1:28" ht="15" hidden="1">
      <c r="A424" s="151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</row>
    <row r="425" spans="1:28" ht="15" hidden="1">
      <c r="A425" s="151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</row>
    <row r="426" spans="1:28" ht="15" hidden="1">
      <c r="A426" s="151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</row>
    <row r="427" spans="1:28" ht="15" hidden="1">
      <c r="A427" s="151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</row>
    <row r="428" spans="1:28" ht="15" hidden="1">
      <c r="A428" s="151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</row>
    <row r="429" spans="1:28" ht="15" hidden="1">
      <c r="A429" s="151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</row>
    <row r="430" spans="1:28" ht="15" hidden="1">
      <c r="A430" s="151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  <c r="AA430" s="151"/>
      <c r="AB430" s="151"/>
    </row>
    <row r="431" spans="1:28" ht="15" hidden="1">
      <c r="A431" s="151"/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  <c r="AA431" s="151"/>
      <c r="AB431" s="151"/>
    </row>
    <row r="432" spans="1:28" ht="15" hidden="1">
      <c r="A432" s="151"/>
      <c r="B432" s="151"/>
      <c r="C432" s="151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  <c r="AA432" s="151"/>
      <c r="AB432" s="151"/>
    </row>
    <row r="433" spans="1:28" ht="15" hidden="1">
      <c r="A433" s="151"/>
      <c r="B433" s="151"/>
      <c r="C433" s="151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  <c r="AA433" s="151"/>
      <c r="AB433" s="151"/>
    </row>
    <row r="434" spans="1:28" ht="15" hidden="1">
      <c r="A434" s="151"/>
      <c r="B434" s="151"/>
      <c r="C434" s="151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  <c r="AA434" s="151"/>
      <c r="AB434" s="151"/>
    </row>
    <row r="435" spans="1:28" ht="15" hidden="1">
      <c r="A435" s="151"/>
      <c r="B435" s="151"/>
      <c r="C435" s="151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  <c r="AA435" s="151"/>
      <c r="AB435" s="151"/>
    </row>
    <row r="436" spans="1:28" ht="15" hidden="1">
      <c r="A436" s="151"/>
      <c r="B436" s="151"/>
      <c r="C436" s="151"/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  <c r="AA436" s="151"/>
      <c r="AB436" s="151"/>
    </row>
    <row r="437" spans="1:28" ht="15" hidden="1">
      <c r="A437" s="151"/>
      <c r="B437" s="151"/>
      <c r="C437" s="151"/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  <c r="AA437" s="151"/>
      <c r="AB437" s="151"/>
    </row>
    <row r="438" spans="1:28" ht="15" hidden="1">
      <c r="A438" s="151"/>
      <c r="B438" s="151"/>
      <c r="C438" s="151"/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  <c r="AA438" s="151"/>
      <c r="AB438" s="151"/>
    </row>
    <row r="439" spans="1:28" ht="15" hidden="1">
      <c r="A439" s="151"/>
      <c r="B439" s="151"/>
      <c r="C439" s="151"/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  <c r="AA439" s="151"/>
      <c r="AB439" s="151"/>
    </row>
    <row r="440" spans="1:28" ht="15" hidden="1">
      <c r="A440" s="151"/>
      <c r="B440" s="151"/>
      <c r="C440" s="151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  <c r="AA440" s="151"/>
      <c r="AB440" s="151"/>
    </row>
    <row r="441" spans="1:28" ht="15" hidden="1">
      <c r="A441" s="151"/>
      <c r="B441" s="151"/>
      <c r="C441" s="151"/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  <c r="AA441" s="151"/>
      <c r="AB441" s="151"/>
    </row>
    <row r="442" spans="1:28" ht="15" hidden="1">
      <c r="A442" s="151"/>
      <c r="B442" s="151"/>
      <c r="C442" s="151"/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  <c r="AA442" s="151"/>
      <c r="AB442" s="151"/>
    </row>
    <row r="443" spans="1:28" ht="15" hidden="1">
      <c r="A443" s="151"/>
      <c r="B443" s="151"/>
      <c r="C443" s="151"/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  <c r="AA443" s="151"/>
      <c r="AB443" s="151"/>
    </row>
    <row r="444" spans="1:28" ht="15" hidden="1">
      <c r="A444" s="151"/>
      <c r="B444" s="151"/>
      <c r="C444" s="151"/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  <c r="AA444" s="151"/>
      <c r="AB444" s="151"/>
    </row>
    <row r="445" spans="1:28" ht="15" hidden="1">
      <c r="A445" s="151"/>
      <c r="B445" s="151"/>
      <c r="C445" s="151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  <c r="AA445" s="151"/>
      <c r="AB445" s="151"/>
    </row>
    <row r="446" spans="1:28" ht="15" hidden="1">
      <c r="A446" s="151"/>
      <c r="B446" s="151"/>
      <c r="C446" s="151"/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  <c r="AA446" s="151"/>
      <c r="AB446" s="151"/>
    </row>
    <row r="447" spans="1:28" ht="15" hidden="1">
      <c r="A447" s="151"/>
      <c r="B447" s="151"/>
      <c r="C447" s="151"/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  <c r="AA447" s="151"/>
      <c r="AB447" s="151"/>
    </row>
    <row r="448" spans="1:28" ht="15" hidden="1">
      <c r="A448" s="151"/>
      <c r="B448" s="151"/>
      <c r="C448" s="151"/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  <c r="AA448" s="151"/>
      <c r="AB448" s="151"/>
    </row>
    <row r="449" spans="1:28" ht="15" hidden="1">
      <c r="A449" s="151"/>
      <c r="B449" s="151"/>
      <c r="C449" s="151"/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  <c r="AA449" s="151"/>
      <c r="AB449" s="151"/>
    </row>
    <row r="450" spans="1:28" ht="15" hidden="1">
      <c r="A450" s="151"/>
      <c r="B450" s="151"/>
      <c r="C450" s="151"/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  <c r="AA450" s="151"/>
      <c r="AB450" s="151"/>
    </row>
    <row r="451" spans="1:28" ht="15" hidden="1">
      <c r="A451" s="151"/>
      <c r="B451" s="151"/>
      <c r="C451" s="151"/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  <c r="AA451" s="151"/>
      <c r="AB451" s="151"/>
    </row>
    <row r="452" spans="1:28" ht="15" hidden="1">
      <c r="A452" s="151"/>
      <c r="B452" s="151"/>
      <c r="C452" s="151"/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  <c r="AA452" s="151"/>
      <c r="AB452" s="151"/>
    </row>
    <row r="453" spans="1:28" ht="15" hidden="1">
      <c r="A453" s="151"/>
      <c r="B453" s="151"/>
      <c r="C453" s="151"/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  <c r="AA453" s="151"/>
      <c r="AB453" s="151"/>
    </row>
    <row r="454" spans="1:28" ht="15" hidden="1">
      <c r="A454" s="151"/>
      <c r="B454" s="151"/>
      <c r="C454" s="151"/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  <c r="AA454" s="151"/>
      <c r="AB454" s="151"/>
    </row>
    <row r="455" spans="1:28" ht="15" hidden="1">
      <c r="A455" s="151"/>
      <c r="B455" s="151"/>
      <c r="C455" s="151"/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  <c r="AA455" s="151"/>
      <c r="AB455" s="151"/>
    </row>
    <row r="456" spans="1:28" ht="15" hidden="1">
      <c r="A456" s="151"/>
      <c r="B456" s="151"/>
      <c r="C456" s="151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  <c r="AA456" s="151"/>
      <c r="AB456" s="151"/>
    </row>
    <row r="457" spans="1:28" ht="15" hidden="1">
      <c r="A457" s="151"/>
      <c r="B457" s="151"/>
      <c r="C457" s="151"/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  <c r="AA457" s="151"/>
      <c r="AB457" s="151"/>
    </row>
    <row r="458" spans="1:28" ht="15" hidden="1">
      <c r="A458" s="151"/>
      <c r="B458" s="151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  <c r="AA458" s="151"/>
      <c r="AB458" s="151"/>
    </row>
    <row r="459" spans="1:28" ht="15" hidden="1">
      <c r="A459" s="151"/>
      <c r="B459" s="151"/>
      <c r="C459" s="151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  <c r="AA459" s="151"/>
      <c r="AB459" s="151"/>
    </row>
    <row r="460" spans="1:28" ht="15" hidden="1">
      <c r="A460" s="151"/>
      <c r="B460" s="151"/>
      <c r="C460" s="151"/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  <c r="AA460" s="151"/>
      <c r="AB460" s="151"/>
    </row>
    <row r="461" spans="1:28" ht="15" hidden="1">
      <c r="A461" s="151"/>
      <c r="B461" s="151"/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  <c r="AA461" s="151"/>
      <c r="AB461" s="151"/>
    </row>
    <row r="462" spans="1:28" ht="15" hidden="1">
      <c r="A462" s="151"/>
      <c r="B462" s="151"/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</row>
    <row r="463" spans="1:28" ht="15" hidden="1">
      <c r="A463" s="151"/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  <c r="AA463" s="151"/>
      <c r="AB463" s="151"/>
    </row>
    <row r="464" spans="1:28" ht="15" hidden="1">
      <c r="A464" s="151"/>
      <c r="B464" s="151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  <c r="AA464" s="151"/>
      <c r="AB464" s="151"/>
    </row>
    <row r="465" spans="1:28" ht="15" hidden="1">
      <c r="A465" s="151"/>
      <c r="B465" s="151"/>
      <c r="C465" s="151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</row>
    <row r="466" spans="1:28" ht="15" hidden="1">
      <c r="A466" s="151"/>
      <c r="B466" s="151"/>
      <c r="C466" s="151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  <c r="AA466" s="151"/>
      <c r="AB466" s="151"/>
    </row>
    <row r="467" spans="1:28" ht="15" hidden="1">
      <c r="A467" s="151"/>
      <c r="B467" s="151"/>
      <c r="C467" s="151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  <c r="AA467" s="151"/>
      <c r="AB467" s="151"/>
    </row>
    <row r="468" spans="1:28" ht="15" hidden="1">
      <c r="A468" s="151"/>
      <c r="B468" s="151"/>
      <c r="C468" s="151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  <c r="AA468" s="151"/>
      <c r="AB468" s="151"/>
    </row>
    <row r="469" spans="1:28" ht="15" hidden="1">
      <c r="A469" s="151"/>
      <c r="B469" s="151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  <c r="AA469" s="151"/>
      <c r="AB469" s="151"/>
    </row>
    <row r="470" spans="1:28" ht="15" hidden="1">
      <c r="A470" s="151"/>
      <c r="B470" s="151"/>
      <c r="C470" s="151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  <c r="AA470" s="151"/>
      <c r="AB470" s="151"/>
    </row>
    <row r="471" spans="1:28" ht="15" hidden="1">
      <c r="A471" s="151"/>
      <c r="B471" s="151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  <c r="AA471" s="151"/>
      <c r="AB471" s="151"/>
    </row>
    <row r="472" spans="1:28" ht="15" hidden="1">
      <c r="A472" s="151"/>
      <c r="B472" s="151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  <c r="AA472" s="151"/>
      <c r="AB472" s="151"/>
    </row>
    <row r="473" spans="1:28" ht="15" hidden="1">
      <c r="A473" s="151"/>
      <c r="B473" s="151"/>
      <c r="C473" s="151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  <c r="AA473" s="151"/>
      <c r="AB473" s="151"/>
    </row>
    <row r="474" spans="1:28" ht="15" hidden="1">
      <c r="A474" s="151"/>
      <c r="B474" s="151"/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</row>
    <row r="475" spans="1:28" ht="15" hidden="1">
      <c r="A475" s="151"/>
      <c r="B475" s="151"/>
      <c r="C475" s="151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</row>
    <row r="476" spans="1:28" ht="15" hidden="1">
      <c r="A476" s="151"/>
      <c r="B476" s="151"/>
      <c r="C476" s="151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</row>
    <row r="477" spans="1:28" ht="15" hidden="1">
      <c r="A477" s="151"/>
      <c r="B477" s="151"/>
      <c r="C477" s="151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</row>
    <row r="478" spans="1:28" ht="15" hidden="1">
      <c r="A478" s="151"/>
      <c r="B478" s="151"/>
      <c r="C478" s="151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</row>
    <row r="479" spans="1:28" ht="15" hidden="1">
      <c r="A479" s="151"/>
      <c r="B479" s="151"/>
      <c r="C479" s="151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</row>
    <row r="480" spans="1:28" ht="15" hidden="1">
      <c r="A480" s="151"/>
      <c r="B480" s="151"/>
      <c r="C480" s="151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</row>
    <row r="481" spans="1:28" ht="15" hidden="1">
      <c r="A481" s="151"/>
      <c r="B481" s="151"/>
      <c r="C481" s="151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</row>
    <row r="482" spans="1:28" ht="15" hidden="1">
      <c r="A482" s="151"/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</row>
    <row r="483" spans="1:28" ht="15" hidden="1">
      <c r="A483" s="151"/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</row>
    <row r="484" spans="1:28" ht="15" hidden="1">
      <c r="A484" s="151"/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  <c r="AA484" s="151"/>
      <c r="AB484" s="151"/>
    </row>
    <row r="485" spans="1:28" ht="15" hidden="1">
      <c r="A485" s="151"/>
      <c r="B485" s="151"/>
      <c r="C485" s="151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  <c r="AA485" s="151"/>
      <c r="AB485" s="151"/>
    </row>
    <row r="486" spans="1:28" ht="15" hidden="1">
      <c r="A486" s="151"/>
      <c r="B486" s="151"/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1"/>
    </row>
    <row r="487" spans="1:28" ht="15" hidden="1">
      <c r="A487" s="151"/>
      <c r="B487" s="151"/>
      <c r="C487" s="151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  <c r="AA487" s="151"/>
      <c r="AB487" s="151"/>
    </row>
    <row r="488" spans="1:28" ht="15" hidden="1">
      <c r="A488" s="151"/>
      <c r="B488" s="151"/>
      <c r="C488" s="151"/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  <c r="AA488" s="151"/>
      <c r="AB488" s="151"/>
    </row>
    <row r="489" spans="1:28" ht="15" hidden="1">
      <c r="A489" s="151"/>
      <c r="B489" s="151"/>
      <c r="C489" s="151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  <c r="AA489" s="151"/>
      <c r="AB489" s="151"/>
    </row>
    <row r="490" spans="1:28" ht="15" hidden="1">
      <c r="A490" s="151"/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  <c r="AA490" s="151"/>
      <c r="AB490" s="151"/>
    </row>
    <row r="491" spans="1:28" ht="15" hidden="1">
      <c r="A491" s="151"/>
      <c r="B491" s="151"/>
      <c r="C491" s="151"/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  <c r="AA491" s="151"/>
      <c r="AB491" s="151"/>
    </row>
    <row r="492" spans="1:28" ht="15" hidden="1">
      <c r="A492" s="151"/>
      <c r="B492" s="151"/>
      <c r="C492" s="151"/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  <c r="AA492" s="151"/>
      <c r="AB492" s="151"/>
    </row>
    <row r="493" spans="1:28" ht="15" hidden="1">
      <c r="A493" s="151"/>
      <c r="B493" s="151"/>
      <c r="C493" s="151"/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  <c r="AA493" s="151"/>
      <c r="AB493" s="151"/>
    </row>
    <row r="494" spans="1:28" ht="15" hidden="1">
      <c r="A494" s="151"/>
      <c r="B494" s="151"/>
      <c r="C494" s="151"/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  <c r="AA494" s="151"/>
      <c r="AB494" s="151"/>
    </row>
    <row r="495" spans="1:28" ht="15" hidden="1">
      <c r="A495" s="151"/>
      <c r="B495" s="151"/>
      <c r="C495" s="151"/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  <c r="AA495" s="151"/>
      <c r="AB495" s="151"/>
    </row>
    <row r="496" spans="1:28" ht="15" hidden="1">
      <c r="A496" s="151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1"/>
    </row>
    <row r="497" spans="1:28" ht="15" hidden="1">
      <c r="A497" s="151"/>
      <c r="B497" s="151"/>
      <c r="C497" s="151"/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  <c r="AA497" s="151"/>
      <c r="AB497" s="151"/>
    </row>
    <row r="498" spans="1:28" ht="15" hidden="1">
      <c r="A498" s="151"/>
      <c r="B498" s="151"/>
      <c r="C498" s="151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  <c r="AA498" s="151"/>
      <c r="AB498" s="151"/>
    </row>
    <row r="499" spans="1:28" ht="15" hidden="1">
      <c r="A499" s="151"/>
      <c r="B499" s="151"/>
      <c r="C499" s="151"/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  <c r="AA499" s="151"/>
      <c r="AB499" s="151"/>
    </row>
    <row r="500" spans="1:28" ht="15" hidden="1">
      <c r="A500" s="151"/>
      <c r="B500" s="151"/>
      <c r="C500" s="151"/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  <c r="AA500" s="151"/>
      <c r="AB500" s="151"/>
    </row>
    <row r="501" spans="1:28" ht="15" hidden="1">
      <c r="A501" s="151"/>
      <c r="B501" s="151"/>
      <c r="C501" s="151"/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  <c r="AA501" s="151"/>
      <c r="AB501" s="151"/>
    </row>
    <row r="502" spans="1:28" ht="15" hidden="1">
      <c r="A502" s="151"/>
      <c r="B502" s="151"/>
      <c r="C502" s="151"/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  <c r="AA502" s="151"/>
      <c r="AB502" s="151"/>
    </row>
    <row r="503" spans="1:28" ht="15" hidden="1">
      <c r="A503" s="151"/>
      <c r="B503" s="151"/>
      <c r="C503" s="151"/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  <c r="AA503" s="151"/>
      <c r="AB503" s="151"/>
    </row>
    <row r="504" spans="1:28" ht="15" hidden="1">
      <c r="A504" s="151"/>
      <c r="B504" s="151"/>
      <c r="C504" s="151"/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  <c r="AA504" s="151"/>
      <c r="AB504" s="151"/>
    </row>
    <row r="505" spans="1:28" ht="15" hidden="1">
      <c r="A505" s="151"/>
      <c r="B505" s="151"/>
      <c r="C505" s="151"/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  <c r="AA505" s="151"/>
      <c r="AB505" s="151"/>
    </row>
    <row r="506" spans="1:28" ht="15" hidden="1">
      <c r="A506" s="151"/>
      <c r="B506" s="151"/>
      <c r="C506" s="151"/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  <c r="AA506" s="151"/>
      <c r="AB506" s="151"/>
    </row>
    <row r="507" spans="1:28" ht="15" hidden="1">
      <c r="A507" s="151"/>
      <c r="B507" s="151"/>
      <c r="C507" s="151"/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  <c r="AA507" s="151"/>
      <c r="AB507" s="151"/>
    </row>
    <row r="508" spans="1:28" ht="15" hidden="1">
      <c r="A508" s="151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  <c r="AA508" s="151"/>
      <c r="AB508" s="151"/>
    </row>
    <row r="509" spans="1:28" ht="15" hidden="1">
      <c r="A509" s="151"/>
      <c r="B509" s="151"/>
      <c r="C509" s="151"/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  <c r="AA509" s="151"/>
      <c r="AB509" s="151"/>
    </row>
    <row r="510" spans="1:28" ht="15" hidden="1">
      <c r="A510" s="151"/>
      <c r="B510" s="151"/>
      <c r="C510" s="151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  <c r="AA510" s="151"/>
      <c r="AB510" s="151"/>
    </row>
    <row r="511" spans="1:28" ht="15" hidden="1">
      <c r="A511" s="151"/>
      <c r="B511" s="151"/>
      <c r="C511" s="151"/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  <c r="AA511" s="151"/>
      <c r="AB511" s="151"/>
    </row>
    <row r="512" spans="1:28" ht="15" hidden="1">
      <c r="A512" s="151"/>
      <c r="B512" s="151"/>
      <c r="C512" s="151"/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  <c r="AA512" s="151"/>
      <c r="AB512" s="151"/>
    </row>
    <row r="513" spans="1:28" ht="15" hidden="1">
      <c r="A513" s="151"/>
      <c r="B513" s="151"/>
      <c r="C513" s="151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  <c r="AA513" s="151"/>
      <c r="AB513" s="151"/>
    </row>
    <row r="514" spans="1:28" ht="15" hidden="1">
      <c r="A514" s="151"/>
      <c r="B514" s="151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  <c r="AA514" s="151"/>
      <c r="AB514" s="151"/>
    </row>
    <row r="515" spans="1:28" ht="15" hidden="1">
      <c r="A515" s="151"/>
      <c r="B515" s="151"/>
      <c r="C515" s="151"/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  <c r="AA515" s="151"/>
      <c r="AB515" s="151"/>
    </row>
    <row r="516" spans="1:28" ht="15" hidden="1">
      <c r="A516" s="151"/>
      <c r="B516" s="151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</row>
    <row r="517" spans="1:28" ht="15" hidden="1">
      <c r="A517" s="151"/>
      <c r="B517" s="151"/>
      <c r="C517" s="151"/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</row>
    <row r="518" spans="1:28" ht="15" hidden="1">
      <c r="A518" s="151"/>
      <c r="B518" s="151"/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</row>
    <row r="519" spans="1:28" ht="15" hidden="1">
      <c r="A519" s="151"/>
      <c r="B519" s="151"/>
      <c r="C519" s="151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</row>
    <row r="520" spans="1:28" ht="15" hidden="1">
      <c r="A520" s="151"/>
      <c r="B520" s="151"/>
      <c r="C520" s="151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  <c r="AA520" s="151"/>
      <c r="AB520" s="151"/>
    </row>
    <row r="521" spans="1:28" ht="15" hidden="1">
      <c r="A521" s="151"/>
      <c r="B521" s="151"/>
      <c r="C521" s="151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</row>
    <row r="522" spans="1:28" ht="15" hidden="1">
      <c r="A522" s="151"/>
      <c r="B522" s="151"/>
      <c r="C522" s="151"/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  <c r="AA522" s="151"/>
      <c r="AB522" s="151"/>
    </row>
    <row r="523" spans="1:28" ht="15" hidden="1">
      <c r="A523" s="151"/>
      <c r="B523" s="151"/>
      <c r="C523" s="151"/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  <c r="AA523" s="151"/>
      <c r="AB523" s="151"/>
    </row>
    <row r="524" spans="1:28" ht="15" hidden="1">
      <c r="A524" s="151"/>
      <c r="B524" s="151"/>
      <c r="C524" s="151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  <c r="AA524" s="151"/>
      <c r="AB524" s="151"/>
    </row>
    <row r="525" spans="1:28" ht="15" hidden="1">
      <c r="A525" s="151"/>
      <c r="B525" s="151"/>
      <c r="C525" s="151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  <c r="AA525" s="151"/>
      <c r="AB525" s="151"/>
    </row>
    <row r="526" spans="1:28" ht="15" hidden="1">
      <c r="A526" s="151"/>
      <c r="B526" s="151"/>
      <c r="C526" s="151"/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  <c r="AA526" s="151"/>
      <c r="AB526" s="151"/>
    </row>
    <row r="527" spans="1:28" ht="15" hidden="1">
      <c r="A527" s="151"/>
      <c r="B527" s="151"/>
      <c r="C527" s="151"/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  <c r="AA527" s="151"/>
      <c r="AB527" s="151"/>
    </row>
    <row r="528" spans="1:28" ht="15" hidden="1">
      <c r="A528" s="151"/>
      <c r="B528" s="151"/>
      <c r="C528" s="151"/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  <c r="AA528" s="151"/>
      <c r="AB528" s="151"/>
    </row>
    <row r="529" spans="1:28" ht="15" hidden="1">
      <c r="A529" s="151"/>
      <c r="B529" s="151"/>
      <c r="C529" s="151"/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  <c r="AA529" s="151"/>
      <c r="AB529" s="151"/>
    </row>
    <row r="530" spans="1:28" ht="15" hidden="1">
      <c r="A530" s="151"/>
      <c r="B530" s="151"/>
      <c r="C530" s="151"/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  <c r="AA530" s="151"/>
      <c r="AB530" s="151"/>
    </row>
    <row r="531" spans="1:28" ht="15" hidden="1">
      <c r="A531" s="151"/>
      <c r="B531" s="151"/>
      <c r="C531" s="151"/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  <c r="AA531" s="151"/>
      <c r="AB531" s="151"/>
    </row>
    <row r="532" spans="1:28" ht="15" hidden="1">
      <c r="A532" s="151"/>
      <c r="B532" s="151"/>
      <c r="C532" s="151"/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  <c r="AA532" s="151"/>
      <c r="AB532" s="151"/>
    </row>
    <row r="533" spans="1:28" ht="15" hidden="1">
      <c r="A533" s="151"/>
      <c r="B533" s="151"/>
      <c r="C533" s="151"/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  <c r="AA533" s="151"/>
      <c r="AB533" s="151"/>
    </row>
    <row r="534" spans="1:28" ht="15" hidden="1">
      <c r="A534" s="151"/>
      <c r="B534" s="151"/>
      <c r="C534" s="151"/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  <c r="AA534" s="151"/>
      <c r="AB534" s="151"/>
    </row>
    <row r="535" spans="1:28" ht="15" hidden="1">
      <c r="A535" s="151"/>
      <c r="B535" s="151"/>
      <c r="C535" s="151"/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</row>
    <row r="536" spans="1:28" ht="15" hidden="1">
      <c r="A536" s="151"/>
      <c r="B536" s="151"/>
      <c r="C536" s="151"/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</row>
    <row r="537" spans="1:28" ht="15" hidden="1">
      <c r="A537" s="151"/>
      <c r="B537" s="151"/>
      <c r="C537" s="151"/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</row>
    <row r="538" spans="1:28" ht="15" hidden="1">
      <c r="A538" s="151"/>
      <c r="B538" s="151"/>
      <c r="C538" s="151"/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  <c r="AA538" s="151"/>
      <c r="AB538" s="151"/>
    </row>
    <row r="539" spans="1:28" ht="15" hidden="1">
      <c r="A539" s="151"/>
      <c r="B539" s="151"/>
      <c r="C539" s="151"/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  <c r="AA539" s="151"/>
      <c r="AB539" s="151"/>
    </row>
    <row r="540" spans="1:28" ht="15" hidden="1">
      <c r="A540" s="151"/>
      <c r="B540" s="151"/>
      <c r="C540" s="151"/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  <c r="AA540" s="151"/>
      <c r="AB540" s="151"/>
    </row>
    <row r="541" spans="1:28" ht="15" hidden="1">
      <c r="A541" s="151"/>
      <c r="B541" s="151"/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</row>
    <row r="542" spans="1:28" ht="15" hidden="1">
      <c r="A542" s="151"/>
      <c r="B542" s="151"/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</row>
    <row r="543" spans="1:28" ht="15" hidden="1">
      <c r="A543" s="151"/>
      <c r="B543" s="151"/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</row>
    <row r="544" spans="1:28" ht="15" hidden="1">
      <c r="A544" s="151"/>
      <c r="B544" s="151"/>
      <c r="C544" s="151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  <c r="AA544" s="151"/>
      <c r="AB544" s="151"/>
    </row>
    <row r="545" spans="1:28" ht="15" hidden="1">
      <c r="A545" s="151"/>
      <c r="B545" s="151"/>
      <c r="C545" s="151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  <c r="AA545" s="151"/>
      <c r="AB545" s="151"/>
    </row>
    <row r="546" spans="1:28" ht="15" hidden="1">
      <c r="A546" s="151"/>
      <c r="B546" s="151"/>
      <c r="C546" s="151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  <c r="AA546" s="151"/>
      <c r="AB546" s="151"/>
    </row>
    <row r="547" spans="1:28" ht="15" hidden="1">
      <c r="A547" s="151"/>
      <c r="B547" s="151"/>
      <c r="C547" s="151"/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  <c r="AA547" s="151"/>
      <c r="AB547" s="151"/>
    </row>
    <row r="548" spans="1:28" ht="15" hidden="1">
      <c r="A548" s="151"/>
      <c r="B548" s="151"/>
      <c r="C548" s="151"/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  <c r="AA548" s="151"/>
      <c r="AB548" s="151"/>
    </row>
    <row r="549" spans="1:28" ht="15" hidden="1">
      <c r="A549" s="151"/>
      <c r="B549" s="151"/>
      <c r="C549" s="151"/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  <c r="AA549" s="151"/>
      <c r="AB549" s="151"/>
    </row>
    <row r="550" spans="1:28" ht="15" hidden="1">
      <c r="A550" s="151"/>
      <c r="B550" s="151"/>
      <c r="C550" s="151"/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</row>
    <row r="551" spans="1:28" ht="15" hidden="1">
      <c r="A551" s="151"/>
      <c r="B551" s="151"/>
      <c r="C551" s="151"/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</row>
    <row r="552" spans="1:28" ht="15" hidden="1">
      <c r="A552" s="151"/>
      <c r="B552" s="151"/>
      <c r="C552" s="151"/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</row>
    <row r="553" spans="1:28" ht="15" hidden="1">
      <c r="A553" s="151"/>
      <c r="B553" s="151"/>
      <c r="C553" s="151"/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</row>
    <row r="554" spans="1:28" ht="15" hidden="1">
      <c r="A554" s="151"/>
      <c r="B554" s="151"/>
      <c r="C554" s="151"/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</row>
    <row r="555" spans="1:28" ht="15" hidden="1">
      <c r="A555" s="151"/>
      <c r="B555" s="151"/>
      <c r="C555" s="151"/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  <c r="AA555" s="151"/>
      <c r="AB555" s="151"/>
    </row>
    <row r="556" spans="1:28" ht="15" hidden="1">
      <c r="A556" s="151"/>
      <c r="B556" s="151"/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</row>
    <row r="557" spans="1:28" ht="15" hidden="1">
      <c r="A557" s="151"/>
      <c r="B557" s="151"/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</row>
    <row r="558" spans="1:28" ht="15" hidden="1">
      <c r="A558" s="151"/>
      <c r="B558" s="151"/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</row>
    <row r="559" spans="1:28" ht="15" hidden="1">
      <c r="A559" s="151"/>
      <c r="B559" s="151"/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</row>
    <row r="560" spans="1:28" ht="15" hidden="1">
      <c r="A560" s="151"/>
      <c r="B560" s="151"/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</row>
    <row r="561" spans="1:28" ht="15" hidden="1">
      <c r="A561" s="151"/>
      <c r="B561" s="151"/>
      <c r="C561" s="151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  <c r="AA561" s="151"/>
      <c r="AB561" s="151"/>
    </row>
    <row r="562" spans="1:28" ht="15" hidden="1">
      <c r="A562" s="151"/>
      <c r="B562" s="151"/>
      <c r="C562" s="151"/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  <c r="AA562" s="151"/>
      <c r="AB562" s="151"/>
    </row>
    <row r="563" spans="1:28" ht="15" hidden="1">
      <c r="A563" s="151"/>
      <c r="B563" s="151"/>
      <c r="C563" s="151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  <c r="AA563" s="151"/>
      <c r="AB563" s="151"/>
    </row>
    <row r="564" spans="1:28" ht="15" hidden="1">
      <c r="A564" s="151"/>
      <c r="B564" s="151"/>
      <c r="C564" s="151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  <c r="AA564" s="151"/>
      <c r="AB564" s="151"/>
    </row>
    <row r="565" spans="1:28" ht="15" hidden="1">
      <c r="A565" s="151"/>
      <c r="B565" s="151"/>
      <c r="C565" s="151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  <c r="AA565" s="151"/>
      <c r="AB565" s="151"/>
    </row>
    <row r="566" spans="1:28" ht="15" hidden="1">
      <c r="A566" s="151"/>
      <c r="B566" s="151"/>
      <c r="C566" s="151"/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  <c r="AA566" s="151"/>
      <c r="AB566" s="151"/>
    </row>
    <row r="567" spans="1:28" ht="15" hidden="1">
      <c r="A567" s="151"/>
      <c r="B567" s="151"/>
      <c r="C567" s="151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  <c r="AA567" s="151"/>
      <c r="AB567" s="151"/>
    </row>
    <row r="568" spans="1:28" ht="15" hidden="1">
      <c r="A568" s="151"/>
      <c r="B568" s="151"/>
      <c r="C568" s="151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  <c r="AA568" s="151"/>
      <c r="AB568" s="151"/>
    </row>
    <row r="569" spans="1:28" ht="15" hidden="1">
      <c r="A569" s="151"/>
      <c r="B569" s="151"/>
      <c r="C569" s="151"/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  <c r="AA569" s="151"/>
      <c r="AB569" s="151"/>
    </row>
    <row r="570" spans="1:28" ht="15" hidden="1">
      <c r="A570" s="151"/>
      <c r="B570" s="151"/>
      <c r="C570" s="151"/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  <c r="AA570" s="151"/>
      <c r="AB570" s="151"/>
    </row>
    <row r="571" spans="1:28" ht="15" hidden="1">
      <c r="A571" s="151"/>
      <c r="B571" s="151"/>
      <c r="C571" s="151"/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  <c r="AA571" s="151"/>
      <c r="AB571" s="151"/>
    </row>
    <row r="572" spans="1:28" ht="15" hidden="1">
      <c r="A572" s="151"/>
      <c r="B572" s="151"/>
      <c r="C572" s="151"/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  <c r="AA572" s="151"/>
      <c r="AB572" s="151"/>
    </row>
    <row r="573" spans="1:28" ht="15" hidden="1">
      <c r="A573" s="151"/>
      <c r="B573" s="151"/>
      <c r="C573" s="151"/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  <c r="AA573" s="151"/>
      <c r="AB573" s="151"/>
    </row>
    <row r="574" spans="1:28" ht="15" hidden="1">
      <c r="A574" s="151"/>
      <c r="B574" s="151"/>
      <c r="C574" s="151"/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  <c r="AA574" s="151"/>
      <c r="AB574" s="151"/>
    </row>
    <row r="575" spans="1:28" ht="15" hidden="1">
      <c r="A575" s="151"/>
      <c r="B575" s="151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  <c r="AA575" s="151"/>
      <c r="AB575" s="151"/>
    </row>
    <row r="576" spans="1:28" ht="15" hidden="1">
      <c r="A576" s="151"/>
      <c r="B576" s="151"/>
      <c r="C576" s="151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  <c r="AA576" s="151"/>
      <c r="AB576" s="151"/>
    </row>
    <row r="577" spans="1:28" ht="15" hidden="1">
      <c r="A577" s="151"/>
      <c r="B577" s="151"/>
      <c r="C577" s="151"/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  <c r="AA577" s="151"/>
      <c r="AB577" s="151"/>
    </row>
    <row r="578" spans="1:28" ht="15" hidden="1">
      <c r="A578" s="151"/>
      <c r="B578" s="151"/>
      <c r="C578" s="151"/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  <c r="AA578" s="151"/>
      <c r="AB578" s="151"/>
    </row>
    <row r="579" spans="1:28" ht="15" hidden="1">
      <c r="A579" s="151"/>
      <c r="B579" s="151"/>
      <c r="C579" s="151"/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  <c r="AA579" s="151"/>
      <c r="AB579" s="151"/>
    </row>
    <row r="580" spans="1:28" ht="15" hidden="1">
      <c r="A580" s="151"/>
      <c r="B580" s="151"/>
      <c r="C580" s="151"/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  <c r="AA580" s="151"/>
      <c r="AB580" s="151"/>
    </row>
    <row r="581" spans="1:28" ht="15" hidden="1">
      <c r="A581" s="151"/>
      <c r="B581" s="151"/>
      <c r="C581" s="151"/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  <c r="AA581" s="151"/>
      <c r="AB581" s="151"/>
    </row>
    <row r="582" spans="1:28" ht="15" hidden="1">
      <c r="A582" s="151"/>
      <c r="B582" s="151"/>
      <c r="C582" s="151"/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  <c r="AA582" s="151"/>
      <c r="AB582" s="151"/>
    </row>
    <row r="583" spans="1:28" ht="15" hidden="1">
      <c r="A583" s="151"/>
      <c r="B583" s="151"/>
      <c r="C583" s="151"/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  <c r="AA583" s="151"/>
      <c r="AB583" s="151"/>
    </row>
    <row r="584" spans="1:28" ht="15" hidden="1">
      <c r="A584" s="151"/>
      <c r="B584" s="151"/>
      <c r="C584" s="151"/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  <c r="AA584" s="151"/>
      <c r="AB584" s="151"/>
    </row>
    <row r="585" spans="1:28" ht="15" hidden="1">
      <c r="A585" s="151"/>
      <c r="B585" s="151"/>
      <c r="C585" s="151"/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  <c r="AA585" s="151"/>
      <c r="AB585" s="151"/>
    </row>
    <row r="586" spans="1:28" ht="15" hidden="1">
      <c r="A586" s="151"/>
      <c r="B586" s="151"/>
      <c r="C586" s="151"/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  <c r="AA586" s="151"/>
      <c r="AB586" s="151"/>
    </row>
    <row r="587" spans="1:28" ht="15" hidden="1">
      <c r="A587" s="151"/>
      <c r="B587" s="151"/>
      <c r="C587" s="151"/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  <c r="AA587" s="151"/>
      <c r="AB587" s="151"/>
    </row>
    <row r="588" spans="1:28" ht="15" hidden="1">
      <c r="A588" s="151"/>
      <c r="B588" s="151"/>
      <c r="C588" s="151"/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  <c r="AA588" s="151"/>
      <c r="AB588" s="151"/>
    </row>
    <row r="589" spans="1:28" ht="15" hidden="1">
      <c r="A589" s="151"/>
      <c r="B589" s="151"/>
      <c r="C589" s="151"/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  <c r="AA589" s="151"/>
      <c r="AB589" s="151"/>
    </row>
    <row r="590" spans="1:28" ht="15" hidden="1">
      <c r="A590" s="151"/>
      <c r="B590" s="151"/>
      <c r="C590" s="151"/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  <c r="AA590" s="151"/>
      <c r="AB590" s="151"/>
    </row>
    <row r="591" spans="1:28" ht="15" hidden="1">
      <c r="A591" s="151"/>
      <c r="B591" s="151"/>
      <c r="C591" s="151"/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</row>
    <row r="592" spans="1:28" ht="15" hidden="1">
      <c r="A592" s="151"/>
      <c r="B592" s="151"/>
      <c r="C592" s="151"/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  <c r="AA592" s="151"/>
      <c r="AB592" s="151"/>
    </row>
    <row r="593" spans="1:28" ht="15" hidden="1">
      <c r="A593" s="151"/>
      <c r="B593" s="151"/>
      <c r="C593" s="151"/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  <c r="AA593" s="151"/>
      <c r="AB593" s="151"/>
    </row>
    <row r="594" spans="1:28" ht="15" hidden="1">
      <c r="A594" s="151"/>
      <c r="B594" s="151"/>
      <c r="C594" s="151"/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  <c r="AA594" s="151"/>
      <c r="AB594" s="151"/>
    </row>
    <row r="595" spans="1:28" ht="15" hidden="1">
      <c r="A595" s="151"/>
      <c r="B595" s="151"/>
      <c r="C595" s="151"/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  <c r="AA595" s="151"/>
      <c r="AB595" s="151"/>
    </row>
    <row r="596" spans="1:28" ht="15" hidden="1">
      <c r="A596" s="151"/>
      <c r="B596" s="151"/>
      <c r="C596" s="151"/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  <c r="AA596" s="151"/>
      <c r="AB596" s="151"/>
    </row>
    <row r="597" spans="1:28" ht="15" hidden="1">
      <c r="A597" s="151"/>
      <c r="B597" s="151"/>
      <c r="C597" s="151"/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  <c r="AA597" s="151"/>
      <c r="AB597" s="151"/>
    </row>
    <row r="598" spans="1:28" ht="15" hidden="1">
      <c r="A598" s="151"/>
      <c r="B598" s="151"/>
      <c r="C598" s="151"/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  <c r="AA598" s="151"/>
      <c r="AB598" s="151"/>
    </row>
    <row r="599" spans="1:28" ht="15" hidden="1">
      <c r="A599" s="151"/>
      <c r="B599" s="151"/>
      <c r="C599" s="151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  <c r="AA599" s="151"/>
      <c r="AB599" s="151"/>
    </row>
    <row r="600" spans="1:28" ht="15" hidden="1">
      <c r="A600" s="151"/>
      <c r="B600" s="151"/>
      <c r="C600" s="151"/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  <c r="AA600" s="151"/>
      <c r="AB600" s="151"/>
    </row>
    <row r="601" spans="1:28" ht="15" hidden="1">
      <c r="A601" s="151"/>
      <c r="B601" s="151"/>
      <c r="C601" s="151"/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  <c r="AA601" s="151"/>
      <c r="AB601" s="151"/>
    </row>
    <row r="602" spans="1:28" ht="15" hidden="1">
      <c r="A602" s="151"/>
      <c r="B602" s="151"/>
      <c r="C602" s="151"/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  <c r="AA602" s="151"/>
      <c r="AB602" s="151"/>
    </row>
    <row r="603" spans="1:28" ht="15" hidden="1">
      <c r="A603" s="151"/>
      <c r="B603" s="151"/>
      <c r="C603" s="151"/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  <c r="AA603" s="151"/>
      <c r="AB603" s="151"/>
    </row>
    <row r="604" spans="1:28" ht="15" hidden="1">
      <c r="A604" s="151"/>
      <c r="B604" s="151"/>
      <c r="C604" s="151"/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  <c r="AA604" s="151"/>
      <c r="AB604" s="151"/>
    </row>
    <row r="605" spans="1:28" ht="15" hidden="1">
      <c r="A605" s="151"/>
      <c r="B605" s="151"/>
      <c r="C605" s="151"/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</row>
    <row r="606" spans="1:28" ht="15" hidden="1">
      <c r="A606" s="151"/>
      <c r="B606" s="151"/>
      <c r="C606" s="151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</row>
    <row r="607" spans="1:28" ht="15" hidden="1">
      <c r="A607" s="151"/>
      <c r="B607" s="151"/>
      <c r="C607" s="151"/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</row>
    <row r="608" spans="1:28" ht="15" hidden="1">
      <c r="A608" s="151"/>
      <c r="B608" s="151"/>
      <c r="C608" s="151"/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</row>
    <row r="609" spans="1:28" ht="15" hidden="1">
      <c r="A609" s="151"/>
      <c r="B609" s="151"/>
      <c r="C609" s="151"/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</row>
    <row r="610" spans="1:28" ht="15" hidden="1">
      <c r="A610" s="151"/>
      <c r="B610" s="151"/>
      <c r="C610" s="151"/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  <c r="AA610" s="151"/>
      <c r="AB610" s="151"/>
    </row>
    <row r="611" spans="1:28" ht="15" hidden="1">
      <c r="A611" s="151"/>
      <c r="B611" s="151"/>
      <c r="C611" s="151"/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  <c r="AA611" s="151"/>
      <c r="AB611" s="151"/>
    </row>
    <row r="612" spans="1:28" ht="15" hidden="1">
      <c r="A612" s="151"/>
      <c r="B612" s="151"/>
      <c r="C612" s="151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  <c r="AA612" s="151"/>
      <c r="AB612" s="151"/>
    </row>
    <row r="613" spans="1:28" ht="15" hidden="1">
      <c r="A613" s="151"/>
      <c r="B613" s="151"/>
      <c r="C613" s="151"/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  <c r="AA613" s="151"/>
      <c r="AB613" s="151"/>
    </row>
    <row r="614" spans="1:28" ht="15" hidden="1">
      <c r="A614" s="151"/>
      <c r="B614" s="151"/>
      <c r="C614" s="151"/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  <c r="AA614" s="151"/>
      <c r="AB614" s="151"/>
    </row>
    <row r="615" spans="1:28" ht="15" hidden="1">
      <c r="A615" s="151"/>
      <c r="B615" s="151"/>
      <c r="C615" s="151"/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  <c r="AA615" s="151"/>
      <c r="AB615" s="151"/>
    </row>
    <row r="616" spans="1:28" ht="15" hidden="1">
      <c r="A616" s="151"/>
      <c r="B616" s="151"/>
      <c r="C616" s="151"/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  <c r="AA616" s="151"/>
      <c r="AB616" s="151"/>
    </row>
    <row r="617" spans="1:28" ht="15" hidden="1">
      <c r="A617" s="151"/>
      <c r="B617" s="151"/>
      <c r="C617" s="151"/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  <c r="AA617" s="151"/>
      <c r="AB617" s="151"/>
    </row>
    <row r="618" spans="1:28" ht="15" hidden="1">
      <c r="A618" s="151"/>
      <c r="B618" s="151"/>
      <c r="C618" s="151"/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  <c r="AA618" s="151"/>
      <c r="AB618" s="151"/>
    </row>
    <row r="619" spans="1:28" ht="15" hidden="1">
      <c r="A619" s="151"/>
      <c r="B619" s="151"/>
      <c r="C619" s="151"/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  <c r="AA619" s="151"/>
      <c r="AB619" s="151"/>
    </row>
    <row r="620" spans="1:28" ht="15" hidden="1">
      <c r="A620" s="151"/>
      <c r="B620" s="151"/>
      <c r="C620" s="151"/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  <c r="AA620" s="151"/>
      <c r="AB620" s="151"/>
    </row>
    <row r="621" spans="1:28" ht="15" hidden="1">
      <c r="A621" s="151"/>
      <c r="B621" s="151"/>
      <c r="C621" s="151"/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  <c r="AA621" s="151"/>
      <c r="AB621" s="151"/>
    </row>
    <row r="622" spans="1:28" ht="15" hidden="1">
      <c r="A622" s="151"/>
      <c r="B622" s="151"/>
      <c r="C622" s="151"/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  <c r="AA622" s="151"/>
      <c r="AB622" s="151"/>
    </row>
    <row r="623" spans="1:28" ht="15" hidden="1">
      <c r="A623" s="151"/>
      <c r="B623" s="151"/>
      <c r="C623" s="151"/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  <c r="AA623" s="151"/>
      <c r="AB623" s="151"/>
    </row>
    <row r="624" spans="1:28" ht="15" hidden="1">
      <c r="A624" s="151"/>
      <c r="B624" s="151"/>
      <c r="C624" s="151"/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  <c r="AA624" s="151"/>
      <c r="AB624" s="151"/>
    </row>
    <row r="625" spans="1:28" ht="15" hidden="1">
      <c r="A625" s="151"/>
      <c r="B625" s="151"/>
      <c r="C625" s="151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  <c r="AA625" s="151"/>
      <c r="AB625" s="151"/>
    </row>
    <row r="626" spans="1:28" ht="15" hidden="1">
      <c r="A626" s="151"/>
      <c r="B626" s="151"/>
      <c r="C626" s="151"/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  <c r="AA626" s="151"/>
      <c r="AB626" s="151"/>
    </row>
    <row r="627" spans="1:28" ht="15" hidden="1">
      <c r="A627" s="151"/>
      <c r="B627" s="151"/>
      <c r="C627" s="151"/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  <c r="AA627" s="151"/>
      <c r="AB627" s="151"/>
    </row>
    <row r="628" spans="1:28" ht="15" hidden="1">
      <c r="A628" s="151"/>
      <c r="B628" s="151"/>
      <c r="C628" s="151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  <c r="AA628" s="151"/>
      <c r="AB628" s="151"/>
    </row>
    <row r="629" spans="1:28" ht="15" hidden="1">
      <c r="A629" s="151"/>
      <c r="B629" s="151"/>
      <c r="C629" s="151"/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  <c r="AA629" s="151"/>
      <c r="AB629" s="151"/>
    </row>
    <row r="630" spans="1:28" ht="15" hidden="1">
      <c r="A630" s="151"/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  <c r="AA630" s="151"/>
      <c r="AB630" s="151"/>
    </row>
    <row r="631" spans="1:28" ht="15" hidden="1">
      <c r="A631" s="151"/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</row>
    <row r="632" spans="1:28" ht="15" hidden="1">
      <c r="A632" s="151"/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</row>
    <row r="633" spans="1:28" ht="15" hidden="1">
      <c r="A633" s="151"/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</row>
    <row r="634" spans="1:28" ht="15" hidden="1">
      <c r="A634" s="151"/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</row>
    <row r="635" spans="1:28" ht="15" hidden="1">
      <c r="A635" s="151"/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</row>
    <row r="636" spans="1:28" ht="15" hidden="1">
      <c r="A636" s="151"/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</row>
    <row r="637" spans="1:28" ht="15" hidden="1">
      <c r="A637" s="151"/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</row>
    <row r="638" spans="1:28" ht="15" hidden="1">
      <c r="A638" s="151"/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</row>
    <row r="639" spans="1:28" ht="15" hidden="1">
      <c r="A639" s="151"/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</row>
    <row r="640" spans="1:28" ht="15" hidden="1">
      <c r="A640" s="151"/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</row>
    <row r="641" spans="1:28" ht="15" hidden="1">
      <c r="A641" s="151"/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</row>
    <row r="642" spans="1:28" ht="15" hidden="1">
      <c r="A642" s="151"/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</row>
    <row r="643" spans="1:28" ht="15" hidden="1">
      <c r="A643" s="151"/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</row>
    <row r="644" spans="1:28" ht="15" hidden="1">
      <c r="A644" s="151"/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</row>
    <row r="645" spans="1:28" ht="15" hidden="1">
      <c r="A645" s="151"/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</row>
    <row r="646" spans="1:28" ht="15" hidden="1">
      <c r="A646" s="151"/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</row>
    <row r="647" spans="1:28" ht="15" hidden="1">
      <c r="A647" s="151"/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</row>
    <row r="648" spans="1:28" ht="15" hidden="1">
      <c r="A648" s="151"/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</row>
    <row r="649" spans="1:28" ht="15" hidden="1">
      <c r="A649" s="151"/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</row>
    <row r="650" spans="1:28" ht="15" hidden="1">
      <c r="A650" s="151"/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</row>
    <row r="651" spans="1:28" ht="15" hidden="1">
      <c r="A651" s="151"/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</row>
    <row r="652" spans="1:28" ht="15" hidden="1">
      <c r="A652" s="151"/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</row>
    <row r="653" spans="1:28" ht="15" hidden="1">
      <c r="A653" s="151"/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</row>
    <row r="654" spans="1:28" ht="15" hidden="1">
      <c r="A654" s="151"/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</row>
    <row r="655" spans="1:28" ht="15" hidden="1">
      <c r="A655" s="151"/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</row>
    <row r="656" spans="1:28" ht="15" hidden="1">
      <c r="A656" s="151"/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</row>
    <row r="657" spans="1:28" ht="15" hidden="1">
      <c r="A657" s="151"/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</row>
    <row r="658" spans="1:28" ht="15" hidden="1">
      <c r="A658" s="151"/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</row>
    <row r="659" spans="1:28" ht="15" hidden="1">
      <c r="A659" s="151"/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</row>
    <row r="660" spans="1:28" ht="15" hidden="1">
      <c r="A660" s="151"/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</row>
    <row r="661" spans="1:28" ht="15" hidden="1">
      <c r="A661" s="151"/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</row>
    <row r="662" spans="1:28" ht="15" hidden="1">
      <c r="A662" s="151"/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</row>
    <row r="663" spans="1:28" ht="15" hidden="1">
      <c r="A663" s="151"/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</row>
    <row r="664" spans="1:28" ht="15" hidden="1">
      <c r="A664" s="151"/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</row>
    <row r="665" spans="1:28" ht="15" hidden="1">
      <c r="A665" s="151"/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</row>
    <row r="666" spans="1:28" ht="15" hidden="1">
      <c r="A666" s="151"/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</row>
    <row r="667" spans="1:28" ht="15" hidden="1">
      <c r="A667" s="151"/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</row>
    <row r="668" spans="1:28" ht="15" hidden="1">
      <c r="A668" s="151"/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</row>
    <row r="669" spans="1:28" ht="15" hidden="1">
      <c r="A669" s="151"/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</row>
    <row r="670" spans="1:28" ht="15" hidden="1">
      <c r="A670" s="151"/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</row>
    <row r="671" spans="1:28" ht="15" hidden="1">
      <c r="A671" s="151"/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</row>
    <row r="672" spans="1:28" ht="15" hidden="1">
      <c r="A672" s="151"/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</row>
    <row r="673" spans="1:28" ht="15" hidden="1">
      <c r="A673" s="151"/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</row>
    <row r="674" spans="1:28" ht="15" hidden="1">
      <c r="A674" s="151"/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</row>
    <row r="675" spans="1:28" ht="15" hidden="1">
      <c r="A675" s="151"/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</row>
    <row r="676" spans="1:28" ht="15" hidden="1">
      <c r="A676" s="151"/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</row>
    <row r="677" spans="1:28" ht="15" hidden="1">
      <c r="A677" s="151"/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</row>
    <row r="678" spans="1:28" ht="15" hidden="1">
      <c r="A678" s="151"/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</row>
    <row r="679" spans="1:28" ht="15" hidden="1">
      <c r="A679" s="151"/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</row>
    <row r="680" spans="1:28" ht="15" hidden="1">
      <c r="A680" s="151"/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</row>
    <row r="681" spans="1:28" ht="15" hidden="1">
      <c r="A681" s="151"/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</row>
    <row r="682" spans="1:28" ht="15" hidden="1">
      <c r="A682" s="151"/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</row>
    <row r="683" spans="1:28" ht="15" hidden="1">
      <c r="A683" s="151"/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</row>
    <row r="684" spans="1:28" ht="15" hidden="1">
      <c r="A684" s="151"/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</row>
    <row r="685" spans="1:28" ht="15" hidden="1">
      <c r="A685" s="151"/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</row>
    <row r="686" spans="1:28" ht="15" hidden="1">
      <c r="A686" s="151"/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</row>
    <row r="687" spans="1:28" ht="15" hidden="1">
      <c r="A687" s="151"/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</row>
    <row r="688" spans="1:28" ht="15" hidden="1">
      <c r="A688" s="151"/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</row>
    <row r="689" spans="1:28" ht="15" hidden="1">
      <c r="A689" s="151"/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</row>
    <row r="690" spans="1:28" ht="15" hidden="1">
      <c r="A690" s="151"/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</row>
    <row r="691" spans="1:28" ht="15" hidden="1">
      <c r="A691" s="151"/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</row>
    <row r="692" spans="1:28" ht="15" hidden="1">
      <c r="A692" s="151"/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</row>
    <row r="693" spans="1:28" ht="15" hidden="1">
      <c r="A693" s="151"/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</row>
    <row r="694" spans="1:28" ht="15" hidden="1">
      <c r="A694" s="151"/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</row>
    <row r="695" spans="1:28" ht="15" hidden="1">
      <c r="A695" s="151"/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</row>
    <row r="696" spans="1:28" ht="15" hidden="1">
      <c r="A696" s="151"/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</row>
    <row r="697" spans="1:28" ht="15" hidden="1">
      <c r="A697" s="151"/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</row>
    <row r="698" spans="1:28" ht="15" hidden="1">
      <c r="A698" s="151"/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</row>
    <row r="699" spans="1:28" ht="15" hidden="1">
      <c r="A699" s="151"/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</row>
    <row r="700" spans="1:28" ht="15" hidden="1">
      <c r="A700" s="151"/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</row>
    <row r="701" spans="1:28" ht="15" hidden="1">
      <c r="A701" s="151"/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</row>
    <row r="702" spans="1:28" ht="15" hidden="1">
      <c r="A702" s="151"/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</row>
    <row r="703" spans="1:28" ht="15" hidden="1">
      <c r="A703" s="151"/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</row>
    <row r="704" spans="1:28" ht="15" hidden="1">
      <c r="A704" s="151"/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</row>
    <row r="705" spans="1:28" ht="15" hidden="1">
      <c r="A705" s="151"/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</row>
    <row r="706" spans="1:28" ht="15" hidden="1">
      <c r="A706" s="151"/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</row>
    <row r="707" spans="1:28" ht="15" hidden="1">
      <c r="A707" s="151"/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</row>
    <row r="708" spans="1:28" ht="15" hidden="1">
      <c r="A708" s="151"/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</row>
    <row r="709" spans="1:28" ht="15" hidden="1">
      <c r="A709" s="151"/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</row>
    <row r="710" spans="1:28" ht="15" hidden="1">
      <c r="A710" s="151"/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</row>
    <row r="711" spans="1:28" ht="15" hidden="1">
      <c r="A711" s="151"/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</row>
    <row r="712" spans="1:28" ht="15" hidden="1">
      <c r="A712" s="151"/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</row>
    <row r="713" spans="1:28" ht="15" hidden="1">
      <c r="A713" s="151"/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</row>
    <row r="714" spans="1:28" ht="15" hidden="1">
      <c r="A714" s="151"/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</row>
    <row r="715" spans="1:28" ht="15" hidden="1">
      <c r="A715" s="151"/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</row>
    <row r="716" spans="1:28" ht="15" hidden="1">
      <c r="A716" s="151"/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</row>
    <row r="717" spans="1:28" ht="15" hidden="1">
      <c r="A717" s="151"/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</row>
    <row r="718" spans="1:28" ht="15" hidden="1">
      <c r="A718" s="151"/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</row>
    <row r="719" spans="1:28" ht="15" hidden="1">
      <c r="A719" s="151"/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</row>
    <row r="720" spans="1:28" ht="15" hidden="1">
      <c r="A720" s="151"/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</row>
    <row r="721" spans="1:28" ht="15" hidden="1">
      <c r="A721" s="151"/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</row>
    <row r="722" spans="1:28" ht="15" hidden="1">
      <c r="A722" s="151"/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</row>
    <row r="723" spans="1:28" ht="15" hidden="1">
      <c r="A723" s="151"/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</row>
    <row r="724" spans="1:28" ht="15" hidden="1">
      <c r="A724" s="151"/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</row>
    <row r="725" spans="1:28" ht="15" hidden="1">
      <c r="A725" s="151"/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</row>
    <row r="726" spans="1:28" ht="15" hidden="1">
      <c r="A726" s="151"/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</row>
    <row r="727" spans="1:28" ht="15" hidden="1">
      <c r="A727" s="151"/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</row>
    <row r="728" spans="1:28" ht="15" hidden="1">
      <c r="A728" s="151"/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</row>
    <row r="729" spans="1:28" ht="15" hidden="1">
      <c r="A729" s="151"/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</row>
    <row r="730" spans="1:28" ht="15" hidden="1">
      <c r="A730" s="151"/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</row>
    <row r="731" spans="1:28" ht="15" hidden="1">
      <c r="A731" s="151"/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</row>
    <row r="732" spans="1:28" ht="15" hidden="1">
      <c r="A732" s="151"/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</row>
    <row r="733" spans="1:28" ht="15" hidden="1">
      <c r="A733" s="151"/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</row>
    <row r="734" spans="1:28" ht="15" hidden="1">
      <c r="A734" s="151"/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</row>
    <row r="735" spans="1:28" ht="15" hidden="1">
      <c r="A735" s="151"/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</row>
    <row r="736" spans="1:28" ht="15" hidden="1">
      <c r="A736" s="151"/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</row>
    <row r="737" spans="1:28" ht="15" hidden="1">
      <c r="A737" s="151"/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</row>
    <row r="738" spans="1:28" ht="15" hidden="1">
      <c r="A738" s="151"/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</row>
    <row r="739" spans="1:28" ht="15" hidden="1">
      <c r="A739" s="151"/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</row>
    <row r="740" spans="1:28" ht="15" hidden="1">
      <c r="A740" s="151"/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</row>
    <row r="741" spans="1:28" ht="15" hidden="1">
      <c r="A741" s="151"/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</row>
    <row r="742" spans="1:28" ht="15" hidden="1">
      <c r="A742" s="151"/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</row>
    <row r="743" spans="1:28" ht="15" hidden="1">
      <c r="A743" s="151"/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</row>
    <row r="744" spans="1:28" ht="15" hidden="1">
      <c r="A744" s="151"/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</row>
    <row r="745" spans="1:28" ht="15" hidden="1">
      <c r="A745" s="151"/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</row>
    <row r="746" spans="1:28" ht="15" hidden="1">
      <c r="A746" s="151"/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</row>
    <row r="747" spans="1:28" ht="15" hidden="1">
      <c r="A747" s="151"/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</row>
    <row r="748" spans="1:28" ht="15" hidden="1">
      <c r="A748" s="151"/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  <c r="AA748" s="151"/>
      <c r="AB748" s="151"/>
    </row>
    <row r="749" spans="1:28" ht="15" hidden="1">
      <c r="A749" s="151"/>
      <c r="B749" s="151"/>
      <c r="C749" s="151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1"/>
      <c r="AA749" s="151"/>
      <c r="AB749" s="151"/>
    </row>
    <row r="750" spans="1:28" ht="15" hidden="1">
      <c r="A750" s="151"/>
      <c r="B750" s="151"/>
      <c r="C750" s="151"/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1"/>
      <c r="AA750" s="151"/>
      <c r="AB750" s="151"/>
    </row>
    <row r="751" spans="1:28" ht="15" hidden="1">
      <c r="A751" s="151"/>
      <c r="B751" s="151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1"/>
      <c r="AA751" s="151"/>
      <c r="AB751" s="151"/>
    </row>
    <row r="752" spans="1:28" ht="15" hidden="1">
      <c r="A752" s="151"/>
      <c r="B752" s="151"/>
      <c r="C752" s="151"/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1"/>
      <c r="AA752" s="151"/>
      <c r="AB752" s="151"/>
    </row>
    <row r="753" spans="1:28" ht="15" hidden="1">
      <c r="A753" s="151"/>
      <c r="B753" s="151"/>
      <c r="C753" s="151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  <c r="AA753" s="151"/>
      <c r="AB753" s="151"/>
    </row>
    <row r="754" spans="1:28" ht="15" hidden="1">
      <c r="A754" s="151"/>
      <c r="B754" s="151"/>
      <c r="C754" s="151"/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  <c r="AA754" s="151"/>
      <c r="AB754" s="151"/>
    </row>
    <row r="755" spans="1:28" ht="15" hidden="1">
      <c r="A755" s="151"/>
      <c r="B755" s="151"/>
      <c r="C755" s="151"/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1"/>
      <c r="AA755" s="151"/>
      <c r="AB755" s="151"/>
    </row>
    <row r="756" spans="1:28" ht="15" hidden="1">
      <c r="A756" s="151"/>
      <c r="B756" s="151"/>
      <c r="C756" s="151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  <c r="AA756" s="151"/>
      <c r="AB756" s="151"/>
    </row>
    <row r="757" spans="1:28" ht="15" hidden="1">
      <c r="A757" s="151"/>
      <c r="B757" s="151"/>
      <c r="C757" s="151"/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  <c r="AA757" s="151"/>
      <c r="AB757" s="151"/>
    </row>
    <row r="758" spans="1:28" ht="15" hidden="1">
      <c r="A758" s="151"/>
      <c r="B758" s="151"/>
      <c r="C758" s="151"/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1"/>
      <c r="AA758" s="151"/>
      <c r="AB758" s="151"/>
    </row>
    <row r="759" spans="1:28" ht="15" hidden="1">
      <c r="A759" s="151"/>
      <c r="B759" s="151"/>
      <c r="C759" s="151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1"/>
      <c r="AA759" s="151"/>
      <c r="AB759" s="151"/>
    </row>
    <row r="760" spans="1:28" ht="15" hidden="1">
      <c r="A760" s="151"/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1"/>
      <c r="AA760" s="151"/>
      <c r="AB760" s="151"/>
    </row>
    <row r="761" spans="1:28" ht="15" hidden="1">
      <c r="A761" s="151"/>
      <c r="B761" s="151"/>
      <c r="C761" s="151"/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1"/>
      <c r="AA761" s="151"/>
      <c r="AB761" s="151"/>
    </row>
    <row r="762" spans="1:28" ht="15" hidden="1">
      <c r="A762" s="151"/>
      <c r="B762" s="151"/>
      <c r="C762" s="151"/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1"/>
      <c r="AA762" s="151"/>
      <c r="AB762" s="151"/>
    </row>
    <row r="763" spans="1:28" ht="15" hidden="1">
      <c r="A763" s="151"/>
      <c r="B763" s="151"/>
      <c r="C763" s="151"/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1"/>
      <c r="AA763" s="151"/>
      <c r="AB763" s="151"/>
    </row>
    <row r="764" spans="1:28" ht="15" hidden="1">
      <c r="A764" s="151"/>
      <c r="B764" s="151"/>
      <c r="C764" s="151"/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1"/>
      <c r="AA764" s="151"/>
      <c r="AB764" s="151"/>
    </row>
    <row r="765" spans="1:28" ht="15" hidden="1">
      <c r="A765" s="151"/>
      <c r="B765" s="151"/>
      <c r="C765" s="151"/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1"/>
      <c r="AA765" s="151"/>
      <c r="AB765" s="151"/>
    </row>
    <row r="766" spans="1:28" ht="15" hidden="1">
      <c r="A766" s="151"/>
      <c r="B766" s="151"/>
      <c r="C766" s="151"/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1"/>
      <c r="AA766" s="151"/>
      <c r="AB766" s="151"/>
    </row>
    <row r="767" spans="1:28" ht="15" hidden="1">
      <c r="A767" s="151"/>
      <c r="B767" s="151"/>
      <c r="C767" s="151"/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1"/>
      <c r="AA767" s="151"/>
      <c r="AB767" s="151"/>
    </row>
    <row r="768" spans="1:28" ht="15" hidden="1">
      <c r="A768" s="151"/>
      <c r="B768" s="151"/>
      <c r="C768" s="151"/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1"/>
      <c r="AA768" s="151"/>
      <c r="AB768" s="151"/>
    </row>
    <row r="769" spans="1:28" ht="15" hidden="1">
      <c r="A769" s="151"/>
      <c r="B769" s="151"/>
      <c r="C769" s="151"/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1"/>
      <c r="AA769" s="151"/>
      <c r="AB769" s="151"/>
    </row>
    <row r="770" spans="1:28" ht="15" hidden="1">
      <c r="A770" s="151"/>
      <c r="B770" s="151"/>
      <c r="C770" s="151"/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1"/>
      <c r="AA770" s="151"/>
      <c r="AB770" s="151"/>
    </row>
    <row r="771" spans="1:28" ht="15" hidden="1">
      <c r="A771" s="151"/>
      <c r="B771" s="151"/>
      <c r="C771" s="151"/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1"/>
      <c r="AA771" s="151"/>
      <c r="AB771" s="151"/>
    </row>
    <row r="772" spans="1:28" ht="15" hidden="1">
      <c r="A772" s="151"/>
      <c r="B772" s="151"/>
      <c r="C772" s="151"/>
      <c r="D772" s="151"/>
      <c r="E772" s="151"/>
      <c r="F772" s="151"/>
      <c r="G772" s="151"/>
      <c r="H772" s="151"/>
      <c r="I772" s="151"/>
      <c r="J772" s="151"/>
      <c r="K772" s="151"/>
      <c r="L772" s="151"/>
      <c r="M772" s="151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1"/>
      <c r="AA772" s="151"/>
      <c r="AB772" s="151"/>
    </row>
    <row r="773" spans="1:28" ht="15" hidden="1">
      <c r="A773" s="151"/>
      <c r="B773" s="151"/>
      <c r="C773" s="151"/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1"/>
      <c r="AA773" s="151"/>
      <c r="AB773" s="151"/>
    </row>
    <row r="774" spans="1:28" ht="15" hidden="1">
      <c r="A774" s="151"/>
      <c r="B774" s="151"/>
      <c r="C774" s="151"/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1"/>
      <c r="AA774" s="151"/>
      <c r="AB774" s="151"/>
    </row>
    <row r="775" spans="1:28" ht="15" hidden="1">
      <c r="A775" s="151"/>
      <c r="B775" s="151"/>
      <c r="C775" s="151"/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1"/>
      <c r="AA775" s="151"/>
      <c r="AB775" s="151"/>
    </row>
    <row r="776" spans="1:28" ht="15" hidden="1">
      <c r="A776" s="151"/>
      <c r="B776" s="151"/>
      <c r="C776" s="151"/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1"/>
      <c r="AA776" s="151"/>
      <c r="AB776" s="151"/>
    </row>
    <row r="777" spans="1:28" ht="15" hidden="1">
      <c r="A777" s="151"/>
      <c r="B777" s="151"/>
      <c r="C777" s="151"/>
      <c r="D777" s="151"/>
      <c r="E777" s="151"/>
      <c r="F777" s="151"/>
      <c r="G777" s="151"/>
      <c r="H777" s="151"/>
      <c r="I777" s="151"/>
      <c r="J777" s="151"/>
      <c r="K777" s="151"/>
      <c r="L777" s="151"/>
      <c r="M777" s="151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1"/>
      <c r="AA777" s="151"/>
      <c r="AB777" s="151"/>
    </row>
    <row r="778" spans="1:28" ht="15" hidden="1">
      <c r="A778" s="151"/>
      <c r="B778" s="151"/>
      <c r="C778" s="151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1"/>
      <c r="AA778" s="151"/>
      <c r="AB778" s="151"/>
    </row>
    <row r="779" spans="1:28" ht="15" hidden="1">
      <c r="A779" s="151"/>
      <c r="B779" s="151"/>
      <c r="C779" s="151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1"/>
      <c r="AA779" s="151"/>
      <c r="AB779" s="151"/>
    </row>
    <row r="780" spans="1:28" ht="15" hidden="1">
      <c r="A780" s="151"/>
      <c r="B780" s="151"/>
      <c r="C780" s="151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1"/>
      <c r="AA780" s="151"/>
      <c r="AB780" s="151"/>
    </row>
    <row r="781" spans="1:28" ht="15" hidden="1">
      <c r="A781" s="151"/>
      <c r="B781" s="151"/>
      <c r="C781" s="151"/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1"/>
      <c r="AA781" s="151"/>
      <c r="AB781" s="151"/>
    </row>
    <row r="782" spans="1:28" ht="15" hidden="1">
      <c r="A782" s="151"/>
      <c r="B782" s="151"/>
      <c r="C782" s="151"/>
      <c r="D782" s="151"/>
      <c r="E782" s="151"/>
      <c r="F782" s="151"/>
      <c r="G782" s="151"/>
      <c r="H782" s="151"/>
      <c r="I782" s="151"/>
      <c r="J782" s="151"/>
      <c r="K782" s="151"/>
      <c r="L782" s="151"/>
      <c r="M782" s="151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1"/>
      <c r="AA782" s="151"/>
      <c r="AB782" s="151"/>
    </row>
    <row r="783" spans="1:28" ht="15" hidden="1">
      <c r="A783" s="151"/>
      <c r="B783" s="151"/>
      <c r="C783" s="151"/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1"/>
      <c r="AA783" s="151"/>
      <c r="AB783" s="151"/>
    </row>
    <row r="784" spans="1:28" ht="15" hidden="1">
      <c r="A784" s="151"/>
      <c r="B784" s="151"/>
      <c r="C784" s="151"/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1"/>
      <c r="AA784" s="151"/>
      <c r="AB784" s="151"/>
    </row>
    <row r="785" spans="1:28" ht="15" hidden="1">
      <c r="A785" s="151"/>
      <c r="B785" s="151"/>
      <c r="C785" s="151"/>
      <c r="D785" s="151"/>
      <c r="E785" s="151"/>
      <c r="F785" s="151"/>
      <c r="G785" s="151"/>
      <c r="H785" s="151"/>
      <c r="I785" s="151"/>
      <c r="J785" s="151"/>
      <c r="K785" s="151"/>
      <c r="L785" s="151"/>
      <c r="M785" s="151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1"/>
      <c r="AA785" s="151"/>
      <c r="AB785" s="151"/>
    </row>
    <row r="786" spans="1:28" ht="15" hidden="1">
      <c r="A786" s="151"/>
      <c r="B786" s="151"/>
      <c r="C786" s="151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  <c r="AA786" s="151"/>
      <c r="AB786" s="151"/>
    </row>
    <row r="787" spans="1:28" ht="15" hidden="1">
      <c r="A787" s="151"/>
      <c r="B787" s="151"/>
      <c r="C787" s="151"/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1"/>
      <c r="AA787" s="151"/>
      <c r="AB787" s="151"/>
    </row>
    <row r="788" spans="1:28" ht="15" hidden="1">
      <c r="A788" s="151"/>
      <c r="B788" s="151"/>
      <c r="C788" s="151"/>
      <c r="D788" s="151"/>
      <c r="E788" s="151"/>
      <c r="F788" s="151"/>
      <c r="G788" s="151"/>
      <c r="H788" s="151"/>
      <c r="I788" s="151"/>
      <c r="J788" s="151"/>
      <c r="K788" s="151"/>
      <c r="L788" s="151"/>
      <c r="M788" s="151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1"/>
      <c r="AA788" s="151"/>
      <c r="AB788" s="151"/>
    </row>
    <row r="789" spans="1:28" ht="15" hidden="1">
      <c r="A789" s="151"/>
      <c r="B789" s="151"/>
      <c r="C789" s="151"/>
      <c r="D789" s="151"/>
      <c r="E789" s="151"/>
      <c r="F789" s="151"/>
      <c r="G789" s="151"/>
      <c r="H789" s="151"/>
      <c r="I789" s="151"/>
      <c r="J789" s="151"/>
      <c r="K789" s="151"/>
      <c r="L789" s="151"/>
      <c r="M789" s="151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1"/>
      <c r="AA789" s="151"/>
      <c r="AB789" s="151"/>
    </row>
    <row r="790" spans="1:28" ht="15" hidden="1">
      <c r="A790" s="151"/>
      <c r="B790" s="151"/>
      <c r="C790" s="151"/>
      <c r="D790" s="151"/>
      <c r="E790" s="151"/>
      <c r="F790" s="151"/>
      <c r="G790" s="151"/>
      <c r="H790" s="151"/>
      <c r="I790" s="151"/>
      <c r="J790" s="151"/>
      <c r="K790" s="151"/>
      <c r="L790" s="151"/>
      <c r="M790" s="151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1"/>
      <c r="AA790" s="151"/>
      <c r="AB790" s="151"/>
    </row>
    <row r="791" spans="1:28" ht="15" hidden="1">
      <c r="A791" s="151"/>
      <c r="B791" s="151"/>
      <c r="C791" s="151"/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1"/>
      <c r="AA791" s="151"/>
      <c r="AB791" s="151"/>
    </row>
    <row r="792" spans="1:28" ht="15" hidden="1">
      <c r="A792" s="151"/>
      <c r="B792" s="151"/>
      <c r="C792" s="151"/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1"/>
      <c r="AA792" s="151"/>
      <c r="AB792" s="151"/>
    </row>
    <row r="793" spans="1:28" ht="15" hidden="1">
      <c r="A793" s="151"/>
      <c r="B793" s="151"/>
      <c r="C793" s="151"/>
      <c r="D793" s="151"/>
      <c r="E793" s="151"/>
      <c r="F793" s="151"/>
      <c r="G793" s="151"/>
      <c r="H793" s="151"/>
      <c r="I793" s="151"/>
      <c r="J793" s="151"/>
      <c r="K793" s="151"/>
      <c r="L793" s="151"/>
      <c r="M793" s="151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1"/>
      <c r="AA793" s="151"/>
      <c r="AB793" s="151"/>
    </row>
    <row r="794" spans="1:28" ht="15" hidden="1">
      <c r="A794" s="151"/>
      <c r="B794" s="151"/>
      <c r="C794" s="151"/>
      <c r="D794" s="151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1"/>
      <c r="AA794" s="151"/>
      <c r="AB794" s="151"/>
    </row>
    <row r="795" spans="1:28" ht="15" hidden="1">
      <c r="A795" s="151"/>
      <c r="B795" s="151"/>
      <c r="C795" s="151"/>
      <c r="D795" s="151"/>
      <c r="E795" s="151"/>
      <c r="F795" s="151"/>
      <c r="G795" s="151"/>
      <c r="H795" s="151"/>
      <c r="I795" s="151"/>
      <c r="J795" s="151"/>
      <c r="K795" s="151"/>
      <c r="L795" s="151"/>
      <c r="M795" s="151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1"/>
      <c r="AA795" s="151"/>
      <c r="AB795" s="151"/>
    </row>
    <row r="796" spans="1:28" ht="15" hidden="1">
      <c r="A796" s="151"/>
      <c r="B796" s="151"/>
      <c r="C796" s="151"/>
      <c r="D796" s="151"/>
      <c r="E796" s="151"/>
      <c r="F796" s="151"/>
      <c r="G796" s="151"/>
      <c r="H796" s="151"/>
      <c r="I796" s="151"/>
      <c r="J796" s="151"/>
      <c r="K796" s="151"/>
      <c r="L796" s="151"/>
      <c r="M796" s="151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1"/>
      <c r="AA796" s="151"/>
      <c r="AB796" s="151"/>
    </row>
    <row r="797" spans="1:28" ht="15" hidden="1">
      <c r="A797" s="151"/>
      <c r="B797" s="151"/>
      <c r="C797" s="151"/>
      <c r="D797" s="151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1"/>
      <c r="AA797" s="151"/>
      <c r="AB797" s="151"/>
    </row>
    <row r="798" spans="1:28" ht="15" hidden="1">
      <c r="A798" s="151"/>
      <c r="B798" s="151"/>
      <c r="C798" s="151"/>
      <c r="D798" s="151"/>
      <c r="E798" s="151"/>
      <c r="F798" s="151"/>
      <c r="G798" s="151"/>
      <c r="H798" s="151"/>
      <c r="I798" s="151"/>
      <c r="J798" s="151"/>
      <c r="K798" s="151"/>
      <c r="L798" s="151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  <c r="AA798" s="151"/>
      <c r="AB798" s="151"/>
    </row>
    <row r="799" spans="1:28" ht="15" hidden="1">
      <c r="A799" s="151"/>
      <c r="B799" s="151"/>
      <c r="C799" s="151"/>
      <c r="D799" s="151"/>
      <c r="E799" s="151"/>
      <c r="F799" s="151"/>
      <c r="G799" s="151"/>
      <c r="H799" s="151"/>
      <c r="I799" s="151"/>
      <c r="J799" s="151"/>
      <c r="K799" s="151"/>
      <c r="L799" s="151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  <c r="AA799" s="151"/>
      <c r="AB799" s="151"/>
    </row>
    <row r="800" spans="1:28" ht="15" hidden="1">
      <c r="A800" s="151"/>
      <c r="B800" s="151"/>
      <c r="C800" s="151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  <c r="AA800" s="151"/>
      <c r="AB800" s="151"/>
    </row>
    <row r="801" spans="1:28" ht="15" hidden="1">
      <c r="A801" s="151"/>
      <c r="B801" s="151"/>
      <c r="C801" s="151"/>
      <c r="D801" s="151"/>
      <c r="E801" s="151"/>
      <c r="F801" s="151"/>
      <c r="G801" s="151"/>
      <c r="H801" s="151"/>
      <c r="I801" s="151"/>
      <c r="J801" s="151"/>
      <c r="K801" s="151"/>
      <c r="L801" s="151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  <c r="AA801" s="151"/>
      <c r="AB801" s="151"/>
    </row>
    <row r="802" spans="1:28" ht="15" hidden="1">
      <c r="A802" s="151"/>
      <c r="B802" s="151"/>
      <c r="C802" s="151"/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  <c r="AA802" s="151"/>
      <c r="AB802" s="151"/>
    </row>
    <row r="803" spans="1:28" ht="15" hidden="1">
      <c r="A803" s="151"/>
      <c r="B803" s="151"/>
      <c r="C803" s="151"/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  <c r="AA803" s="151"/>
      <c r="AB803" s="151"/>
    </row>
    <row r="804" spans="1:28" ht="15" hidden="1">
      <c r="A804" s="151"/>
      <c r="B804" s="151"/>
      <c r="C804" s="151"/>
      <c r="D804" s="151"/>
      <c r="E804" s="151"/>
      <c r="F804" s="151"/>
      <c r="G804" s="151"/>
      <c r="H804" s="151"/>
      <c r="I804" s="151"/>
      <c r="J804" s="151"/>
      <c r="K804" s="151"/>
      <c r="L804" s="151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  <c r="AA804" s="151"/>
      <c r="AB804" s="151"/>
    </row>
    <row r="805" spans="1:28" ht="15" hidden="1">
      <c r="A805" s="151"/>
      <c r="B805" s="151"/>
      <c r="C805" s="151"/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  <c r="AA805" s="151"/>
      <c r="AB805" s="151"/>
    </row>
    <row r="806" spans="1:28" ht="15" hidden="1">
      <c r="A806" s="151"/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  <c r="AA806" s="151"/>
      <c r="AB806" s="151"/>
    </row>
    <row r="807" spans="1:28" ht="15" hidden="1">
      <c r="A807" s="151"/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  <c r="AA807" s="151"/>
      <c r="AB807" s="151"/>
    </row>
    <row r="808" spans="1:28" ht="15" hidden="1">
      <c r="A808" s="151"/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  <c r="AA808" s="151"/>
      <c r="AB808" s="151"/>
    </row>
    <row r="809" spans="1:28" ht="15" hidden="1">
      <c r="A809" s="151"/>
      <c r="B809" s="151"/>
      <c r="C809" s="151"/>
      <c r="D809" s="151"/>
      <c r="E809" s="151"/>
      <c r="F809" s="151"/>
      <c r="G809" s="151"/>
      <c r="H809" s="151"/>
      <c r="I809" s="151"/>
      <c r="J809" s="151"/>
      <c r="K809" s="151"/>
      <c r="L809" s="151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  <c r="AA809" s="151"/>
      <c r="AB809" s="151"/>
    </row>
    <row r="810" spans="1:28" ht="15" hidden="1">
      <c r="A810" s="151"/>
      <c r="B810" s="151"/>
      <c r="C810" s="151"/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1"/>
      <c r="AA810" s="151"/>
      <c r="AB810" s="151"/>
    </row>
    <row r="811" spans="1:28" ht="15" hidden="1">
      <c r="A811" s="151"/>
      <c r="B811" s="151"/>
      <c r="C811" s="151"/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1"/>
      <c r="AA811" s="151"/>
      <c r="AB811" s="151"/>
    </row>
    <row r="812" spans="1:28" ht="15" hidden="1">
      <c r="A812" s="151"/>
      <c r="B812" s="151"/>
      <c r="C812" s="151"/>
      <c r="D812" s="151"/>
      <c r="E812" s="151"/>
      <c r="F812" s="151"/>
      <c r="G812" s="151"/>
      <c r="H812" s="151"/>
      <c r="I812" s="151"/>
      <c r="J812" s="151"/>
      <c r="K812" s="151"/>
      <c r="L812" s="151"/>
      <c r="M812" s="151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1"/>
      <c r="AA812" s="151"/>
      <c r="AB812" s="151"/>
    </row>
    <row r="813" spans="1:28" ht="15" hidden="1">
      <c r="A813" s="151"/>
      <c r="B813" s="151"/>
      <c r="C813" s="151"/>
      <c r="D813" s="151"/>
      <c r="E813" s="151"/>
      <c r="F813" s="151"/>
      <c r="G813" s="151"/>
      <c r="H813" s="151"/>
      <c r="I813" s="151"/>
      <c r="J813" s="151"/>
      <c r="K813" s="151"/>
      <c r="L813" s="151"/>
      <c r="M813" s="151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1"/>
      <c r="AA813" s="151"/>
      <c r="AB813" s="151"/>
    </row>
    <row r="814" spans="1:28" ht="15" hidden="1">
      <c r="A814" s="151"/>
      <c r="B814" s="151"/>
      <c r="C814" s="151"/>
      <c r="D814" s="151"/>
      <c r="E814" s="151"/>
      <c r="F814" s="151"/>
      <c r="G814" s="151"/>
      <c r="H814" s="151"/>
      <c r="I814" s="151"/>
      <c r="J814" s="151"/>
      <c r="K814" s="151"/>
      <c r="L814" s="151"/>
      <c r="M814" s="151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1"/>
      <c r="AA814" s="151"/>
      <c r="AB814" s="151"/>
    </row>
    <row r="815" spans="1:28" ht="15" hidden="1">
      <c r="A815" s="151"/>
      <c r="B815" s="151"/>
      <c r="C815" s="151"/>
      <c r="D815" s="151"/>
      <c r="E815" s="151"/>
      <c r="F815" s="151"/>
      <c r="G815" s="151"/>
      <c r="H815" s="151"/>
      <c r="I815" s="151"/>
      <c r="J815" s="151"/>
      <c r="K815" s="151"/>
      <c r="L815" s="151"/>
      <c r="M815" s="151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1"/>
      <c r="AA815" s="151"/>
      <c r="AB815" s="151"/>
    </row>
    <row r="816" spans="1:28" ht="15" hidden="1">
      <c r="A816" s="151"/>
      <c r="B816" s="151"/>
      <c r="C816" s="151"/>
      <c r="D816" s="151"/>
      <c r="E816" s="151"/>
      <c r="F816" s="151"/>
      <c r="G816" s="151"/>
      <c r="H816" s="151"/>
      <c r="I816" s="151"/>
      <c r="J816" s="151"/>
      <c r="K816" s="151"/>
      <c r="L816" s="151"/>
      <c r="M816" s="151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1"/>
      <c r="AA816" s="151"/>
      <c r="AB816" s="151"/>
    </row>
    <row r="817" spans="1:28" ht="15" hidden="1">
      <c r="A817" s="151"/>
      <c r="B817" s="151"/>
      <c r="C817" s="151"/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1"/>
      <c r="AA817" s="151"/>
      <c r="AB817" s="151"/>
    </row>
    <row r="818" spans="1:28" ht="15" hidden="1">
      <c r="A818" s="151"/>
      <c r="B818" s="151"/>
      <c r="C818" s="151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1"/>
      <c r="AA818" s="151"/>
      <c r="AB818" s="151"/>
    </row>
    <row r="819" spans="1:28" ht="15" hidden="1">
      <c r="A819" s="151"/>
      <c r="B819" s="151"/>
      <c r="C819" s="151"/>
      <c r="D819" s="151"/>
      <c r="E819" s="151"/>
      <c r="F819" s="151"/>
      <c r="G819" s="151"/>
      <c r="H819" s="151"/>
      <c r="I819" s="151"/>
      <c r="J819" s="151"/>
      <c r="K819" s="151"/>
      <c r="L819" s="151"/>
      <c r="M819" s="151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1"/>
      <c r="AA819" s="151"/>
      <c r="AB819" s="151"/>
    </row>
    <row r="820" spans="1:28" ht="15" hidden="1">
      <c r="A820" s="151"/>
      <c r="B820" s="151"/>
      <c r="C820" s="151"/>
      <c r="D820" s="151"/>
      <c r="E820" s="151"/>
      <c r="F820" s="151"/>
      <c r="G820" s="151"/>
      <c r="H820" s="151"/>
      <c r="I820" s="151"/>
      <c r="J820" s="151"/>
      <c r="K820" s="151"/>
      <c r="L820" s="151"/>
      <c r="M820" s="151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1"/>
      <c r="AA820" s="151"/>
      <c r="AB820" s="151"/>
    </row>
    <row r="821" spans="1:28" ht="15" hidden="1">
      <c r="A821" s="151"/>
      <c r="B821" s="151"/>
      <c r="C821" s="151"/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1"/>
      <c r="AA821" s="151"/>
      <c r="AB821" s="151"/>
    </row>
    <row r="822" spans="1:28" ht="15" hidden="1">
      <c r="A822" s="151"/>
      <c r="B822" s="151"/>
      <c r="C822" s="151"/>
      <c r="D822" s="151"/>
      <c r="E822" s="151"/>
      <c r="F822" s="151"/>
      <c r="G822" s="151"/>
      <c r="H822" s="151"/>
      <c r="I822" s="151"/>
      <c r="J822" s="151"/>
      <c r="K822" s="151"/>
      <c r="L822" s="151"/>
      <c r="M822" s="151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1"/>
      <c r="AA822" s="151"/>
      <c r="AB822" s="151"/>
    </row>
    <row r="823" spans="1:28" ht="15" hidden="1">
      <c r="A823" s="151"/>
      <c r="B823" s="151"/>
      <c r="C823" s="151"/>
      <c r="D823" s="151"/>
      <c r="E823" s="151"/>
      <c r="F823" s="151"/>
      <c r="G823" s="151"/>
      <c r="H823" s="151"/>
      <c r="I823" s="151"/>
      <c r="J823" s="151"/>
      <c r="K823" s="151"/>
      <c r="L823" s="151"/>
      <c r="M823" s="151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1"/>
      <c r="AA823" s="151"/>
      <c r="AB823" s="151"/>
    </row>
    <row r="824" spans="1:28" ht="15" hidden="1">
      <c r="A824" s="151"/>
      <c r="B824" s="151"/>
      <c r="C824" s="151"/>
      <c r="D824" s="151"/>
      <c r="E824" s="151"/>
      <c r="F824" s="151"/>
      <c r="G824" s="151"/>
      <c r="H824" s="151"/>
      <c r="I824" s="151"/>
      <c r="J824" s="151"/>
      <c r="K824" s="151"/>
      <c r="L824" s="151"/>
      <c r="M824" s="151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1"/>
      <c r="AA824" s="151"/>
      <c r="AB824" s="151"/>
    </row>
    <row r="825" spans="1:28" ht="15" hidden="1">
      <c r="A825" s="151"/>
      <c r="B825" s="151"/>
      <c r="C825" s="151"/>
      <c r="D825" s="151"/>
      <c r="E825" s="151"/>
      <c r="F825" s="151"/>
      <c r="G825" s="151"/>
      <c r="H825" s="151"/>
      <c r="I825" s="151"/>
      <c r="J825" s="151"/>
      <c r="K825" s="151"/>
      <c r="L825" s="151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  <c r="AA825" s="151"/>
      <c r="AB825" s="151"/>
    </row>
    <row r="826" spans="1:28" ht="15" hidden="1">
      <c r="A826" s="151"/>
      <c r="B826" s="151"/>
      <c r="C826" s="151"/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  <c r="AA826" s="151"/>
      <c r="AB826" s="151"/>
    </row>
    <row r="827" spans="1:28" ht="15" hidden="1">
      <c r="A827" s="151"/>
      <c r="B827" s="151"/>
      <c r="C827" s="151"/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1"/>
      <c r="AA827" s="151"/>
      <c r="AB827" s="151"/>
    </row>
    <row r="828" spans="1:28" ht="15" hidden="1">
      <c r="A828" s="151"/>
      <c r="B828" s="151"/>
      <c r="C828" s="151"/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1"/>
      <c r="AA828" s="151"/>
      <c r="AB828" s="151"/>
    </row>
    <row r="829" spans="1:28" ht="15" hidden="1">
      <c r="A829" s="151"/>
      <c r="B829" s="151"/>
      <c r="C829" s="151"/>
      <c r="D829" s="151"/>
      <c r="E829" s="151"/>
      <c r="F829" s="151"/>
      <c r="G829" s="151"/>
      <c r="H829" s="151"/>
      <c r="I829" s="151"/>
      <c r="J829" s="151"/>
      <c r="K829" s="151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  <c r="AA829" s="151"/>
      <c r="AB829" s="151"/>
    </row>
    <row r="830" spans="1:28" ht="15" hidden="1">
      <c r="A830" s="151"/>
      <c r="B830" s="151"/>
      <c r="C830" s="151"/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1"/>
      <c r="AA830" s="151"/>
      <c r="AB830" s="151"/>
    </row>
    <row r="831" spans="1:28" ht="15" hidden="1">
      <c r="A831" s="151"/>
      <c r="B831" s="151"/>
      <c r="C831" s="151"/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1"/>
      <c r="AA831" s="151"/>
      <c r="AB831" s="151"/>
    </row>
    <row r="832" spans="1:28" ht="15" hidden="1">
      <c r="A832" s="151"/>
      <c r="B832" s="151"/>
      <c r="C832" s="151"/>
      <c r="D832" s="151"/>
      <c r="E832" s="151"/>
      <c r="F832" s="151"/>
      <c r="G832" s="151"/>
      <c r="H832" s="151"/>
      <c r="I832" s="151"/>
      <c r="J832" s="151"/>
      <c r="K832" s="151"/>
      <c r="L832" s="151"/>
      <c r="M832" s="151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1"/>
      <c r="AA832" s="151"/>
      <c r="AB832" s="151"/>
    </row>
    <row r="833" spans="1:28" ht="15" hidden="1">
      <c r="A833" s="151"/>
      <c r="B833" s="151"/>
      <c r="C833" s="151"/>
      <c r="D833" s="151"/>
      <c r="E833" s="151"/>
      <c r="F833" s="151"/>
      <c r="G833" s="151"/>
      <c r="H833" s="151"/>
      <c r="I833" s="151"/>
      <c r="J833" s="151"/>
      <c r="K833" s="151"/>
      <c r="L833" s="151"/>
      <c r="M833" s="151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1"/>
      <c r="AA833" s="151"/>
      <c r="AB833" s="151"/>
    </row>
    <row r="834" spans="1:28" ht="15" hidden="1">
      <c r="A834" s="151"/>
      <c r="B834" s="151"/>
      <c r="C834" s="151"/>
      <c r="D834" s="151"/>
      <c r="E834" s="151"/>
      <c r="F834" s="151"/>
      <c r="G834" s="151"/>
      <c r="H834" s="151"/>
      <c r="I834" s="151"/>
      <c r="J834" s="151"/>
      <c r="K834" s="151"/>
      <c r="L834" s="151"/>
      <c r="M834" s="151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1"/>
      <c r="AA834" s="151"/>
      <c r="AB834" s="151"/>
    </row>
    <row r="835" spans="1:28" ht="15" hidden="1">
      <c r="A835" s="151"/>
      <c r="B835" s="151"/>
      <c r="C835" s="151"/>
      <c r="D835" s="151"/>
      <c r="E835" s="151"/>
      <c r="F835" s="151"/>
      <c r="G835" s="151"/>
      <c r="H835" s="151"/>
      <c r="I835" s="151"/>
      <c r="J835" s="151"/>
      <c r="K835" s="151"/>
      <c r="L835" s="151"/>
      <c r="M835" s="151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1"/>
      <c r="AA835" s="151"/>
      <c r="AB835" s="151"/>
    </row>
    <row r="836" spans="1:28" ht="15" hidden="1">
      <c r="A836" s="151"/>
      <c r="B836" s="151"/>
      <c r="C836" s="151"/>
      <c r="D836" s="151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1"/>
      <c r="AA836" s="151"/>
      <c r="AB836" s="151"/>
    </row>
    <row r="837" spans="1:28" ht="15" hidden="1">
      <c r="A837" s="151"/>
      <c r="B837" s="151"/>
      <c r="C837" s="151"/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1"/>
      <c r="AA837" s="151"/>
      <c r="AB837" s="151"/>
    </row>
    <row r="838" spans="1:28" ht="15" hidden="1">
      <c r="A838" s="151"/>
      <c r="B838" s="151"/>
      <c r="C838" s="151"/>
      <c r="D838" s="151"/>
      <c r="E838" s="151"/>
      <c r="F838" s="151"/>
      <c r="G838" s="151"/>
      <c r="H838" s="151"/>
      <c r="I838" s="151"/>
      <c r="J838" s="151"/>
      <c r="K838" s="151"/>
      <c r="L838" s="151"/>
      <c r="M838" s="151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1"/>
      <c r="AA838" s="151"/>
      <c r="AB838" s="151"/>
    </row>
    <row r="839" spans="1:28" ht="15" hidden="1">
      <c r="A839" s="151"/>
      <c r="B839" s="151"/>
      <c r="C839" s="151"/>
      <c r="D839" s="151"/>
      <c r="E839" s="151"/>
      <c r="F839" s="151"/>
      <c r="G839" s="151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1"/>
      <c r="AA839" s="151"/>
      <c r="AB839" s="151"/>
    </row>
    <row r="840" spans="1:28" ht="15" hidden="1">
      <c r="A840" s="151"/>
      <c r="B840" s="151"/>
      <c r="C840" s="151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1"/>
      <c r="AA840" s="151"/>
      <c r="AB840" s="151"/>
    </row>
    <row r="841" spans="1:28" ht="15" hidden="1">
      <c r="A841" s="151"/>
      <c r="B841" s="151"/>
      <c r="C841" s="151"/>
      <c r="D841" s="151"/>
      <c r="E841" s="151"/>
      <c r="F841" s="151"/>
      <c r="G841" s="151"/>
      <c r="H841" s="151"/>
      <c r="I841" s="151"/>
      <c r="J841" s="151"/>
      <c r="K841" s="151"/>
      <c r="L841" s="151"/>
      <c r="M841" s="151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1"/>
      <c r="AA841" s="151"/>
      <c r="AB841" s="151"/>
    </row>
    <row r="842" spans="1:28" ht="15" hidden="1">
      <c r="A842" s="151"/>
      <c r="B842" s="151"/>
      <c r="C842" s="151"/>
      <c r="D842" s="151"/>
      <c r="E842" s="151"/>
      <c r="F842" s="151"/>
      <c r="G842" s="151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1"/>
      <c r="AA842" s="151"/>
      <c r="AB842" s="151"/>
    </row>
    <row r="843" spans="1:28" ht="15" hidden="1">
      <c r="A843" s="151"/>
      <c r="B843" s="151"/>
      <c r="C843" s="151"/>
      <c r="D843" s="151"/>
      <c r="E843" s="151"/>
      <c r="F843" s="151"/>
      <c r="G843" s="151"/>
      <c r="H843" s="151"/>
      <c r="I843" s="151"/>
      <c r="J843" s="151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  <c r="AA843" s="151"/>
      <c r="AB843" s="151"/>
    </row>
    <row r="844" spans="1:28" ht="15" hidden="1">
      <c r="A844" s="151"/>
      <c r="B844" s="151"/>
      <c r="C844" s="151"/>
      <c r="D844" s="151"/>
      <c r="E844" s="151"/>
      <c r="F844" s="151"/>
      <c r="G844" s="151"/>
      <c r="H844" s="151"/>
      <c r="I844" s="151"/>
      <c r="J844" s="151"/>
      <c r="K844" s="151"/>
      <c r="L844" s="151"/>
      <c r="M844" s="151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1"/>
      <c r="AA844" s="151"/>
      <c r="AB844" s="151"/>
    </row>
    <row r="845" spans="1:28" ht="15" hidden="1">
      <c r="A845" s="151"/>
      <c r="B845" s="151"/>
      <c r="C845" s="151"/>
      <c r="D845" s="151"/>
      <c r="E845" s="151"/>
      <c r="F845" s="151"/>
      <c r="G845" s="151"/>
      <c r="H845" s="151"/>
      <c r="I845" s="151"/>
      <c r="J845" s="151"/>
      <c r="K845" s="151"/>
      <c r="L845" s="151"/>
      <c r="M845" s="151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1"/>
      <c r="AA845" s="151"/>
      <c r="AB845" s="151"/>
    </row>
    <row r="846" spans="1:28" ht="15" hidden="1">
      <c r="A846" s="151"/>
      <c r="B846" s="151"/>
      <c r="C846" s="151"/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1"/>
      <c r="AA846" s="151"/>
      <c r="AB846" s="151"/>
    </row>
    <row r="847" spans="1:28" ht="15" hidden="1">
      <c r="A847" s="151"/>
      <c r="B847" s="151"/>
      <c r="C847" s="151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1"/>
      <c r="AA847" s="151"/>
      <c r="AB847" s="151"/>
    </row>
    <row r="848" spans="1:28" ht="15" hidden="1">
      <c r="A848" s="151"/>
      <c r="B848" s="151"/>
      <c r="C848" s="151"/>
      <c r="D848" s="151"/>
      <c r="E848" s="151"/>
      <c r="F848" s="151"/>
      <c r="G848" s="151"/>
      <c r="H848" s="151"/>
      <c r="I848" s="151"/>
      <c r="J848" s="151"/>
      <c r="K848" s="151"/>
      <c r="L848" s="151"/>
      <c r="M848" s="151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1"/>
      <c r="AA848" s="151"/>
      <c r="AB848" s="151"/>
    </row>
    <row r="849" spans="1:28" ht="15" hidden="1">
      <c r="A849" s="151"/>
      <c r="B849" s="151"/>
      <c r="C849" s="151"/>
      <c r="D849" s="151"/>
      <c r="E849" s="151"/>
      <c r="F849" s="151"/>
      <c r="G849" s="151"/>
      <c r="H849" s="151"/>
      <c r="I849" s="151"/>
      <c r="J849" s="151"/>
      <c r="K849" s="151"/>
      <c r="L849" s="151"/>
      <c r="M849" s="151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1"/>
      <c r="AA849" s="151"/>
      <c r="AB849" s="151"/>
    </row>
    <row r="850" spans="1:28" ht="15" hidden="1">
      <c r="A850" s="151"/>
      <c r="B850" s="151"/>
      <c r="C850" s="151"/>
      <c r="D850" s="151"/>
      <c r="E850" s="151"/>
      <c r="F850" s="151"/>
      <c r="G850" s="151"/>
      <c r="H850" s="151"/>
      <c r="I850" s="151"/>
      <c r="J850" s="151"/>
      <c r="K850" s="151"/>
      <c r="L850" s="151"/>
      <c r="M850" s="151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1"/>
      <c r="AA850" s="151"/>
      <c r="AB850" s="151"/>
    </row>
    <row r="851" spans="1:28" ht="15" hidden="1">
      <c r="A851" s="151"/>
      <c r="B851" s="151"/>
      <c r="C851" s="151"/>
      <c r="D851" s="151"/>
      <c r="E851" s="151"/>
      <c r="F851" s="151"/>
      <c r="G851" s="151"/>
      <c r="H851" s="151"/>
      <c r="I851" s="151"/>
      <c r="J851" s="151"/>
      <c r="K851" s="151"/>
      <c r="L851" s="151"/>
      <c r="M851" s="151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1"/>
      <c r="AA851" s="151"/>
      <c r="AB851" s="151"/>
    </row>
    <row r="852" spans="1:28" ht="15" hidden="1">
      <c r="A852" s="151"/>
      <c r="B852" s="151"/>
      <c r="C852" s="151"/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1"/>
      <c r="AA852" s="151"/>
      <c r="AB852" s="151"/>
    </row>
    <row r="853" spans="1:28" ht="15" hidden="1">
      <c r="A853" s="151"/>
      <c r="B853" s="151"/>
      <c r="C853" s="151"/>
      <c r="D853" s="151"/>
      <c r="E853" s="151"/>
      <c r="F853" s="151"/>
      <c r="G853" s="151"/>
      <c r="H853" s="151"/>
      <c r="I853" s="151"/>
      <c r="J853" s="151"/>
      <c r="K853" s="151"/>
      <c r="L853" s="151"/>
      <c r="M853" s="151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1"/>
      <c r="AA853" s="151"/>
      <c r="AB853" s="151"/>
    </row>
    <row r="854" spans="1:28" ht="15" hidden="1">
      <c r="A854" s="151"/>
      <c r="B854" s="151"/>
      <c r="C854" s="151"/>
      <c r="D854" s="151"/>
      <c r="E854" s="151"/>
      <c r="F854" s="151"/>
      <c r="G854" s="151"/>
      <c r="H854" s="151"/>
      <c r="I854" s="151"/>
      <c r="J854" s="151"/>
      <c r="K854" s="151"/>
      <c r="L854" s="151"/>
      <c r="M854" s="151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1"/>
      <c r="AA854" s="151"/>
      <c r="AB854" s="151"/>
    </row>
    <row r="855" spans="1:28" ht="15" hidden="1">
      <c r="A855" s="151"/>
      <c r="B855" s="151"/>
      <c r="C855" s="151"/>
      <c r="D855" s="151"/>
      <c r="E855" s="151"/>
      <c r="F855" s="151"/>
      <c r="G855" s="151"/>
      <c r="H855" s="151"/>
      <c r="I855" s="151"/>
      <c r="J855" s="151"/>
      <c r="K855" s="151"/>
      <c r="L855" s="151"/>
      <c r="M855" s="151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1"/>
      <c r="AA855" s="151"/>
      <c r="AB855" s="151"/>
    </row>
    <row r="856" spans="1:28" ht="15" hidden="1">
      <c r="A856" s="151"/>
      <c r="B856" s="151"/>
      <c r="C856" s="151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1"/>
      <c r="AA856" s="151"/>
      <c r="AB856" s="151"/>
    </row>
    <row r="857" spans="1:28" ht="15" hidden="1">
      <c r="A857" s="151"/>
      <c r="B857" s="151"/>
      <c r="C857" s="151"/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1"/>
      <c r="AA857" s="151"/>
      <c r="AB857" s="151"/>
    </row>
    <row r="858" spans="1:28" ht="15" hidden="1">
      <c r="A858" s="151"/>
      <c r="B858" s="151"/>
      <c r="C858" s="151"/>
      <c r="D858" s="151"/>
      <c r="E858" s="151"/>
      <c r="F858" s="151"/>
      <c r="G858" s="151"/>
      <c r="H858" s="151"/>
      <c r="I858" s="151"/>
      <c r="J858" s="151"/>
      <c r="K858" s="151"/>
      <c r="L858" s="151"/>
      <c r="M858" s="151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1"/>
      <c r="AA858" s="151"/>
      <c r="AB858" s="151"/>
    </row>
    <row r="859" spans="1:28" ht="15" hidden="1">
      <c r="A859" s="151"/>
      <c r="B859" s="151"/>
      <c r="C859" s="151"/>
      <c r="D859" s="151"/>
      <c r="E859" s="151"/>
      <c r="F859" s="151"/>
      <c r="G859" s="151"/>
      <c r="H859" s="151"/>
      <c r="I859" s="151"/>
      <c r="J859" s="151"/>
      <c r="K859" s="151"/>
      <c r="L859" s="151"/>
      <c r="M859" s="151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1"/>
      <c r="AA859" s="151"/>
      <c r="AB859" s="151"/>
    </row>
    <row r="860" spans="1:28" ht="15" hidden="1">
      <c r="A860" s="151"/>
      <c r="B860" s="151"/>
      <c r="C860" s="151"/>
      <c r="D860" s="151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1"/>
      <c r="AA860" s="151"/>
      <c r="AB860" s="151"/>
    </row>
    <row r="861" spans="1:28" ht="15" hidden="1">
      <c r="A861" s="151"/>
      <c r="B861" s="151"/>
      <c r="C861" s="151"/>
      <c r="D861" s="151"/>
      <c r="E861" s="151"/>
      <c r="F861" s="151"/>
      <c r="G861" s="151"/>
      <c r="H861" s="151"/>
      <c r="I861" s="151"/>
      <c r="J861" s="151"/>
      <c r="K861" s="151"/>
      <c r="L861" s="151"/>
      <c r="M861" s="151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1"/>
      <c r="AA861" s="151"/>
      <c r="AB861" s="151"/>
    </row>
    <row r="862" spans="1:28" ht="15" hidden="1">
      <c r="A862" s="151"/>
      <c r="B862" s="151"/>
      <c r="C862" s="151"/>
      <c r="D862" s="151"/>
      <c r="E862" s="151"/>
      <c r="F862" s="151"/>
      <c r="G862" s="151"/>
      <c r="H862" s="151"/>
      <c r="I862" s="151"/>
      <c r="J862" s="151"/>
      <c r="K862" s="151"/>
      <c r="L862" s="151"/>
      <c r="M862" s="151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  <c r="AA862" s="151"/>
      <c r="AB862" s="151"/>
    </row>
    <row r="863" spans="1:28" ht="15" hidden="1">
      <c r="A863" s="151"/>
      <c r="B863" s="151"/>
      <c r="C863" s="151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1"/>
      <c r="AA863" s="151"/>
      <c r="AB863" s="151"/>
    </row>
    <row r="864" spans="1:28" ht="15" hidden="1">
      <c r="A864" s="151"/>
      <c r="B864" s="151"/>
      <c r="C864" s="151"/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1"/>
      <c r="AA864" s="151"/>
      <c r="AB864" s="151"/>
    </row>
    <row r="865" spans="1:28" ht="15" hidden="1">
      <c r="A865" s="151"/>
      <c r="B865" s="151"/>
      <c r="C865" s="151"/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1"/>
      <c r="AA865" s="151"/>
      <c r="AB865" s="151"/>
    </row>
    <row r="866" spans="1:28" ht="15" hidden="1">
      <c r="A866" s="151"/>
      <c r="B866" s="151"/>
      <c r="C866" s="151"/>
      <c r="D866" s="151"/>
      <c r="E866" s="151"/>
      <c r="F866" s="151"/>
      <c r="G866" s="151"/>
      <c r="H866" s="151"/>
      <c r="I866" s="151"/>
      <c r="J866" s="151"/>
      <c r="K866" s="151"/>
      <c r="L866" s="151"/>
      <c r="M866" s="151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1"/>
      <c r="AA866" s="151"/>
      <c r="AB866" s="151"/>
    </row>
    <row r="867" spans="1:28" ht="15" hidden="1">
      <c r="A867" s="151"/>
      <c r="B867" s="151"/>
      <c r="C867" s="151"/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1"/>
      <c r="AA867" s="151"/>
      <c r="AB867" s="151"/>
    </row>
    <row r="868" spans="1:28" ht="15" hidden="1">
      <c r="A868" s="151"/>
      <c r="B868" s="151"/>
      <c r="C868" s="151"/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1"/>
      <c r="AA868" s="151"/>
      <c r="AB868" s="151"/>
    </row>
    <row r="869" spans="1:28" ht="15" hidden="1">
      <c r="A869" s="151"/>
      <c r="B869" s="151"/>
      <c r="C869" s="151"/>
      <c r="D869" s="151"/>
      <c r="E869" s="151"/>
      <c r="F869" s="151"/>
      <c r="G869" s="151"/>
      <c r="H869" s="151"/>
      <c r="I869" s="151"/>
      <c r="J869" s="151"/>
      <c r="K869" s="151"/>
      <c r="L869" s="151"/>
      <c r="M869" s="151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1"/>
      <c r="AA869" s="151"/>
      <c r="AB869" s="151"/>
    </row>
    <row r="870" spans="1:28" ht="15" hidden="1">
      <c r="A870" s="151"/>
      <c r="B870" s="151"/>
      <c r="C870" s="151"/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1"/>
      <c r="AA870" s="151"/>
      <c r="AB870" s="151"/>
    </row>
    <row r="871" spans="1:28" ht="15" hidden="1">
      <c r="A871" s="151"/>
      <c r="B871" s="151"/>
      <c r="C871" s="151"/>
      <c r="D871" s="151"/>
      <c r="E871" s="151"/>
      <c r="F871" s="151"/>
      <c r="G871" s="151"/>
      <c r="H871" s="151"/>
      <c r="I871" s="151"/>
      <c r="J871" s="151"/>
      <c r="K871" s="151"/>
      <c r="L871" s="151"/>
      <c r="M871" s="151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1"/>
      <c r="AA871" s="151"/>
      <c r="AB871" s="151"/>
    </row>
    <row r="872" spans="1:28" ht="15" hidden="1">
      <c r="A872" s="151"/>
      <c r="B872" s="151"/>
      <c r="C872" s="151"/>
      <c r="D872" s="151"/>
      <c r="E872" s="151"/>
      <c r="F872" s="151"/>
      <c r="G872" s="151"/>
      <c r="H872" s="151"/>
      <c r="I872" s="151"/>
      <c r="J872" s="151"/>
      <c r="K872" s="151"/>
      <c r="L872" s="151"/>
      <c r="M872" s="151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1"/>
      <c r="AA872" s="151"/>
      <c r="AB872" s="151"/>
    </row>
    <row r="873" spans="1:28" ht="15" hidden="1">
      <c r="A873" s="151"/>
      <c r="B873" s="151"/>
      <c r="C873" s="151"/>
      <c r="D873" s="151"/>
      <c r="E873" s="151"/>
      <c r="F873" s="151"/>
      <c r="G873" s="151"/>
      <c r="H873" s="151"/>
      <c r="I873" s="151"/>
      <c r="J873" s="151"/>
      <c r="K873" s="151"/>
      <c r="L873" s="151"/>
      <c r="M873" s="151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1"/>
      <c r="AA873" s="151"/>
      <c r="AB873" s="151"/>
    </row>
    <row r="874" spans="1:28" ht="15" hidden="1">
      <c r="A874" s="151"/>
      <c r="B874" s="151"/>
      <c r="C874" s="151"/>
      <c r="D874" s="151"/>
      <c r="E874" s="151"/>
      <c r="F874" s="151"/>
      <c r="G874" s="151"/>
      <c r="H874" s="151"/>
      <c r="I874" s="151"/>
      <c r="J874" s="151"/>
      <c r="K874" s="151"/>
      <c r="L874" s="151"/>
      <c r="M874" s="151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1"/>
      <c r="AA874" s="151"/>
      <c r="AB874" s="151"/>
    </row>
    <row r="875" spans="1:28" ht="15" hidden="1">
      <c r="A875" s="151"/>
      <c r="B875" s="151"/>
      <c r="C875" s="151"/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1"/>
      <c r="AA875" s="151"/>
      <c r="AB875" s="151"/>
    </row>
    <row r="876" spans="1:28" ht="15" hidden="1">
      <c r="A876" s="151"/>
      <c r="B876" s="151"/>
      <c r="C876" s="151"/>
      <c r="D876" s="151"/>
      <c r="E876" s="151"/>
      <c r="F876" s="151"/>
      <c r="G876" s="151"/>
      <c r="H876" s="151"/>
      <c r="I876" s="151"/>
      <c r="J876" s="151"/>
      <c r="K876" s="151"/>
      <c r="L876" s="151"/>
      <c r="M876" s="151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1"/>
      <c r="AA876" s="151"/>
      <c r="AB876" s="151"/>
    </row>
    <row r="877" spans="1:28" ht="15" hidden="1">
      <c r="A877" s="151"/>
      <c r="B877" s="151"/>
      <c r="C877" s="151"/>
      <c r="D877" s="151"/>
      <c r="E877" s="151"/>
      <c r="F877" s="151"/>
      <c r="G877" s="151"/>
      <c r="H877" s="151"/>
      <c r="I877" s="151"/>
      <c r="J877" s="151"/>
      <c r="K877" s="151"/>
      <c r="L877" s="151"/>
      <c r="M877" s="151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1"/>
      <c r="AA877" s="151"/>
      <c r="AB877" s="151"/>
    </row>
    <row r="878" spans="1:28" ht="15" hidden="1">
      <c r="A878" s="151"/>
      <c r="B878" s="151"/>
      <c r="C878" s="151"/>
      <c r="D878" s="151"/>
      <c r="E878" s="151"/>
      <c r="F878" s="151"/>
      <c r="G878" s="151"/>
      <c r="H878" s="151"/>
      <c r="I878" s="151"/>
      <c r="J878" s="151"/>
      <c r="K878" s="151"/>
      <c r="L878" s="151"/>
      <c r="M878" s="151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1"/>
      <c r="AA878" s="151"/>
      <c r="AB878" s="151"/>
    </row>
    <row r="879" spans="1:28" ht="15" hidden="1">
      <c r="A879" s="151"/>
      <c r="B879" s="151"/>
      <c r="C879" s="151"/>
      <c r="D879" s="151"/>
      <c r="E879" s="151"/>
      <c r="F879" s="151"/>
      <c r="G879" s="151"/>
      <c r="H879" s="151"/>
      <c r="I879" s="151"/>
      <c r="J879" s="151"/>
      <c r="K879" s="151"/>
      <c r="L879" s="151"/>
      <c r="M879" s="151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1"/>
      <c r="AA879" s="151"/>
      <c r="AB879" s="151"/>
    </row>
    <row r="880" spans="1:28" ht="15" hidden="1">
      <c r="A880" s="151"/>
      <c r="B880" s="151"/>
      <c r="C880" s="151"/>
      <c r="D880" s="151"/>
      <c r="E880" s="151"/>
      <c r="F880" s="151"/>
      <c r="G880" s="151"/>
      <c r="H880" s="151"/>
      <c r="I880" s="151"/>
      <c r="J880" s="151"/>
      <c r="K880" s="151"/>
      <c r="L880" s="151"/>
      <c r="M880" s="151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1"/>
      <c r="AA880" s="151"/>
      <c r="AB880" s="151"/>
    </row>
    <row r="881" spans="1:28" ht="15" hidden="1">
      <c r="A881" s="151"/>
      <c r="B881" s="151"/>
      <c r="C881" s="151"/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  <c r="AA881" s="151"/>
      <c r="AB881" s="151"/>
    </row>
    <row r="882" spans="1:28" ht="15" hidden="1">
      <c r="A882" s="151"/>
      <c r="B882" s="151"/>
      <c r="C882" s="151"/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  <c r="AA882" s="151"/>
      <c r="AB882" s="151"/>
    </row>
    <row r="883" spans="1:28" ht="15" hidden="1">
      <c r="A883" s="151"/>
      <c r="B883" s="151"/>
      <c r="C883" s="151"/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  <c r="AA883" s="151"/>
      <c r="AB883" s="151"/>
    </row>
    <row r="884" spans="1:28" ht="15" hidden="1">
      <c r="A884" s="151"/>
      <c r="B884" s="151"/>
      <c r="C884" s="151"/>
      <c r="D884" s="151"/>
      <c r="E884" s="151"/>
      <c r="F884" s="151"/>
      <c r="G884" s="151"/>
      <c r="H884" s="151"/>
      <c r="I884" s="151"/>
      <c r="J884" s="151"/>
      <c r="K884" s="151"/>
      <c r="L884" s="151"/>
      <c r="M884" s="151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1"/>
      <c r="AA884" s="151"/>
      <c r="AB884" s="151"/>
    </row>
    <row r="885" spans="1:28" ht="15" hidden="1">
      <c r="A885" s="151"/>
      <c r="B885" s="151"/>
      <c r="C885" s="151"/>
      <c r="D885" s="151"/>
      <c r="E885" s="151"/>
      <c r="F885" s="151"/>
      <c r="G885" s="151"/>
      <c r="H885" s="151"/>
      <c r="I885" s="151"/>
      <c r="J885" s="151"/>
      <c r="K885" s="151"/>
      <c r="L885" s="151"/>
      <c r="M885" s="151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1"/>
      <c r="AA885" s="151"/>
      <c r="AB885" s="151"/>
    </row>
    <row r="886" spans="1:28" ht="15" hidden="1">
      <c r="A886" s="151"/>
      <c r="B886" s="151"/>
      <c r="C886" s="151"/>
      <c r="D886" s="151"/>
      <c r="E886" s="151"/>
      <c r="F886" s="151"/>
      <c r="G886" s="151"/>
      <c r="H886" s="151"/>
      <c r="I886" s="151"/>
      <c r="J886" s="151"/>
      <c r="K886" s="151"/>
      <c r="L886" s="151"/>
      <c r="M886" s="151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1"/>
      <c r="AA886" s="151"/>
      <c r="AB886" s="151"/>
    </row>
    <row r="887" spans="1:28" ht="15" hidden="1">
      <c r="A887" s="151"/>
      <c r="B887" s="151"/>
      <c r="C887" s="151"/>
      <c r="D887" s="151"/>
      <c r="E887" s="151"/>
      <c r="F887" s="151"/>
      <c r="G887" s="151"/>
      <c r="H887" s="151"/>
      <c r="I887" s="151"/>
      <c r="J887" s="151"/>
      <c r="K887" s="151"/>
      <c r="L887" s="151"/>
      <c r="M887" s="151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1"/>
      <c r="AA887" s="151"/>
      <c r="AB887" s="151"/>
    </row>
    <row r="888" spans="1:28" ht="15" hidden="1">
      <c r="A888" s="151"/>
      <c r="B888" s="151"/>
      <c r="C888" s="151"/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1"/>
      <c r="AA888" s="151"/>
      <c r="AB888" s="151"/>
    </row>
    <row r="889" spans="1:28" ht="15" hidden="1">
      <c r="A889" s="151"/>
      <c r="B889" s="151"/>
      <c r="C889" s="151"/>
      <c r="D889" s="151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  <c r="AA889" s="151"/>
      <c r="AB889" s="151"/>
    </row>
    <row r="890" spans="1:28" ht="15" hidden="1">
      <c r="A890" s="151"/>
      <c r="B890" s="151"/>
      <c r="C890" s="151"/>
      <c r="D890" s="151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  <c r="AA890" s="151"/>
      <c r="AB890" s="151"/>
    </row>
    <row r="891" spans="1:28" ht="15" hidden="1">
      <c r="A891" s="151"/>
      <c r="B891" s="151"/>
      <c r="C891" s="151"/>
      <c r="D891" s="151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  <c r="AA891" s="151"/>
      <c r="AB891" s="151"/>
    </row>
    <row r="892" spans="1:28" ht="15" hidden="1">
      <c r="A892" s="151"/>
      <c r="B892" s="151"/>
      <c r="C892" s="151"/>
      <c r="D892" s="151"/>
      <c r="E892" s="151"/>
      <c r="F892" s="151"/>
      <c r="G892" s="151"/>
      <c r="H892" s="151"/>
      <c r="I892" s="151"/>
      <c r="J892" s="151"/>
      <c r="K892" s="151"/>
      <c r="L892" s="151"/>
      <c r="M892" s="151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  <c r="AA892" s="151"/>
      <c r="AB892" s="151"/>
    </row>
    <row r="893" spans="1:28" ht="15" hidden="1">
      <c r="A893" s="151"/>
      <c r="B893" s="151"/>
      <c r="C893" s="151"/>
      <c r="D893" s="151"/>
      <c r="E893" s="151"/>
      <c r="F893" s="151"/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  <c r="AA893" s="151"/>
      <c r="AB893" s="151"/>
    </row>
    <row r="894" spans="1:28" ht="15" hidden="1">
      <c r="A894" s="151"/>
      <c r="B894" s="151"/>
      <c r="C894" s="151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  <c r="AA894" s="151"/>
      <c r="AB894" s="151"/>
    </row>
    <row r="895" spans="1:28" ht="15" hidden="1">
      <c r="A895" s="151"/>
      <c r="B895" s="151"/>
      <c r="C895" s="151"/>
      <c r="D895" s="151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  <c r="AA895" s="151"/>
      <c r="AB895" s="151"/>
    </row>
    <row r="896" spans="1:28" ht="15" hidden="1">
      <c r="A896" s="151"/>
      <c r="B896" s="151"/>
      <c r="C896" s="151"/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  <c r="AA896" s="151"/>
      <c r="AB896" s="151"/>
    </row>
    <row r="897" spans="1:28" ht="15" hidden="1">
      <c r="A897" s="151"/>
      <c r="B897" s="151"/>
      <c r="C897" s="151"/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  <c r="AA897" s="151"/>
      <c r="AB897" s="151"/>
    </row>
    <row r="898" spans="1:28" ht="15" hidden="1">
      <c r="A898" s="151"/>
      <c r="B898" s="151"/>
      <c r="C898" s="151"/>
      <c r="D898" s="151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  <c r="AA898" s="151"/>
      <c r="AB898" s="151"/>
    </row>
    <row r="899" spans="1:28" ht="15" hidden="1">
      <c r="A899" s="151"/>
      <c r="B899" s="151"/>
      <c r="C899" s="151"/>
      <c r="D899" s="151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  <c r="AA899" s="151"/>
      <c r="AB899" s="151"/>
    </row>
    <row r="900" spans="1:28" ht="15" hidden="1">
      <c r="A900" s="151"/>
      <c r="B900" s="151"/>
      <c r="C900" s="151"/>
      <c r="D900" s="151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  <c r="AA900" s="151"/>
      <c r="AB900" s="151"/>
    </row>
    <row r="901" spans="1:28" ht="15" hidden="1">
      <c r="A901" s="151"/>
      <c r="B901" s="151"/>
      <c r="C901" s="151"/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  <c r="AA901" s="151"/>
      <c r="AB901" s="151"/>
    </row>
    <row r="902" spans="1:28" ht="15" hidden="1">
      <c r="A902" s="151"/>
      <c r="B902" s="151"/>
      <c r="C902" s="151"/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  <c r="AA902" s="151"/>
      <c r="AB902" s="151"/>
    </row>
    <row r="903" spans="1:28" ht="15" hidden="1">
      <c r="A903" s="151"/>
      <c r="B903" s="151"/>
      <c r="C903" s="151"/>
      <c r="D903" s="151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  <c r="AA903" s="151"/>
      <c r="AB903" s="151"/>
    </row>
    <row r="904" spans="1:28" ht="15" hidden="1">
      <c r="A904" s="151"/>
      <c r="B904" s="151"/>
      <c r="C904" s="151"/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  <c r="AA904" s="151"/>
      <c r="AB904" s="151"/>
    </row>
    <row r="905" spans="1:28" ht="15" hidden="1">
      <c r="A905" s="151"/>
      <c r="B905" s="151"/>
      <c r="C905" s="151"/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  <c r="AA905" s="151"/>
      <c r="AB905" s="151"/>
    </row>
    <row r="906" spans="1:28" ht="15" hidden="1">
      <c r="A906" s="151"/>
      <c r="B906" s="151"/>
      <c r="C906" s="151"/>
      <c r="D906" s="151"/>
      <c r="E906" s="151"/>
      <c r="F906" s="151"/>
      <c r="G906" s="151"/>
      <c r="H906" s="151"/>
      <c r="I906" s="151"/>
      <c r="J906" s="151"/>
      <c r="K906" s="151"/>
      <c r="L906" s="151"/>
      <c r="M906" s="151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  <c r="AA906" s="151"/>
      <c r="AB906" s="151"/>
    </row>
    <row r="907" spans="1:28" ht="15" hidden="1">
      <c r="A907" s="151"/>
      <c r="B907" s="151"/>
      <c r="C907" s="151"/>
      <c r="D907" s="151"/>
      <c r="E907" s="151"/>
      <c r="F907" s="151"/>
      <c r="G907" s="151"/>
      <c r="H907" s="151"/>
      <c r="I907" s="151"/>
      <c r="J907" s="151"/>
      <c r="K907" s="151"/>
      <c r="L907" s="151"/>
      <c r="M907" s="151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  <c r="AA907" s="151"/>
      <c r="AB907" s="151"/>
    </row>
    <row r="908" spans="1:28" ht="15" hidden="1">
      <c r="A908" s="151"/>
      <c r="B908" s="151"/>
      <c r="C908" s="151"/>
      <c r="D908" s="151"/>
      <c r="E908" s="151"/>
      <c r="F908" s="151"/>
      <c r="G908" s="151"/>
      <c r="H908" s="151"/>
      <c r="I908" s="151"/>
      <c r="J908" s="151"/>
      <c r="K908" s="151"/>
      <c r="L908" s="151"/>
      <c r="M908" s="151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  <c r="AA908" s="151"/>
      <c r="AB908" s="151"/>
    </row>
    <row r="909" spans="1:28" ht="15" hidden="1">
      <c r="A909" s="151"/>
      <c r="B909" s="151"/>
      <c r="C909" s="151"/>
      <c r="D909" s="151"/>
      <c r="E909" s="151"/>
      <c r="F909" s="151"/>
      <c r="G909" s="151"/>
      <c r="H909" s="151"/>
      <c r="I909" s="151"/>
      <c r="J909" s="151"/>
      <c r="K909" s="151"/>
      <c r="L909" s="151"/>
      <c r="M909" s="151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  <c r="AA909" s="151"/>
      <c r="AB909" s="151"/>
    </row>
    <row r="910" spans="1:28" ht="15" hidden="1">
      <c r="A910" s="151"/>
      <c r="B910" s="151"/>
      <c r="C910" s="151"/>
      <c r="D910" s="151"/>
      <c r="E910" s="151"/>
      <c r="F910" s="151"/>
      <c r="G910" s="151"/>
      <c r="H910" s="151"/>
      <c r="I910" s="151"/>
      <c r="J910" s="151"/>
      <c r="K910" s="151"/>
      <c r="L910" s="151"/>
      <c r="M910" s="151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  <c r="AA910" s="151"/>
      <c r="AB910" s="151"/>
    </row>
    <row r="911" spans="1:28" ht="15" hidden="1">
      <c r="A911" s="151"/>
      <c r="B911" s="151"/>
      <c r="C911" s="151"/>
      <c r="D911" s="151"/>
      <c r="E911" s="151"/>
      <c r="F911" s="151"/>
      <c r="G911" s="151"/>
      <c r="H911" s="151"/>
      <c r="I911" s="151"/>
      <c r="J911" s="151"/>
      <c r="K911" s="151"/>
      <c r="L911" s="151"/>
      <c r="M911" s="151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  <c r="AA911" s="151"/>
      <c r="AB911" s="151"/>
    </row>
    <row r="912" spans="1:28" ht="15" hidden="1">
      <c r="A912" s="151"/>
      <c r="B912" s="151"/>
      <c r="C912" s="151"/>
      <c r="D912" s="151"/>
      <c r="E912" s="151"/>
      <c r="F912" s="151"/>
      <c r="G912" s="151"/>
      <c r="H912" s="151"/>
      <c r="I912" s="151"/>
      <c r="J912" s="151"/>
      <c r="K912" s="151"/>
      <c r="L912" s="151"/>
      <c r="M912" s="151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  <c r="AA912" s="151"/>
      <c r="AB912" s="151"/>
    </row>
    <row r="913" spans="1:28" ht="15" hidden="1">
      <c r="A913" s="151"/>
      <c r="B913" s="151"/>
      <c r="C913" s="151"/>
      <c r="D913" s="151"/>
      <c r="E913" s="151"/>
      <c r="F913" s="151"/>
      <c r="G913" s="151"/>
      <c r="H913" s="151"/>
      <c r="I913" s="151"/>
      <c r="J913" s="151"/>
      <c r="K913" s="151"/>
      <c r="L913" s="151"/>
      <c r="M913" s="151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  <c r="AA913" s="151"/>
      <c r="AB913" s="151"/>
    </row>
    <row r="914" spans="1:28" ht="15" hidden="1">
      <c r="A914" s="151"/>
      <c r="B914" s="151"/>
      <c r="C914" s="151"/>
      <c r="D914" s="151"/>
      <c r="E914" s="151"/>
      <c r="F914" s="151"/>
      <c r="G914" s="151"/>
      <c r="H914" s="151"/>
      <c r="I914" s="151"/>
      <c r="J914" s="151"/>
      <c r="K914" s="151"/>
      <c r="L914" s="151"/>
      <c r="M914" s="151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  <c r="AA914" s="151"/>
      <c r="AB914" s="151"/>
    </row>
    <row r="915" spans="1:28" ht="15" hidden="1">
      <c r="A915" s="151"/>
      <c r="B915" s="151"/>
      <c r="C915" s="151"/>
      <c r="D915" s="151"/>
      <c r="E915" s="151"/>
      <c r="F915" s="151"/>
      <c r="G915" s="151"/>
      <c r="H915" s="151"/>
      <c r="I915" s="151"/>
      <c r="J915" s="151"/>
      <c r="K915" s="151"/>
      <c r="L915" s="151"/>
      <c r="M915" s="151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  <c r="AA915" s="151"/>
      <c r="AB915" s="151"/>
    </row>
    <row r="916" spans="1:28" ht="15" hidden="1">
      <c r="A916" s="151"/>
      <c r="B916" s="151"/>
      <c r="C916" s="151"/>
      <c r="D916" s="151"/>
      <c r="E916" s="151"/>
      <c r="F916" s="151"/>
      <c r="G916" s="151"/>
      <c r="H916" s="151"/>
      <c r="I916" s="151"/>
      <c r="J916" s="151"/>
      <c r="K916" s="151"/>
      <c r="L916" s="151"/>
      <c r="M916" s="151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  <c r="AA916" s="151"/>
      <c r="AB916" s="151"/>
    </row>
    <row r="917" spans="1:28" ht="15" hidden="1">
      <c r="A917" s="151"/>
      <c r="B917" s="151"/>
      <c r="C917" s="151"/>
      <c r="D917" s="151"/>
      <c r="E917" s="151"/>
      <c r="F917" s="151"/>
      <c r="G917" s="151"/>
      <c r="H917" s="151"/>
      <c r="I917" s="151"/>
      <c r="J917" s="151"/>
      <c r="K917" s="151"/>
      <c r="L917" s="151"/>
      <c r="M917" s="151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  <c r="AA917" s="151"/>
      <c r="AB917" s="151"/>
    </row>
    <row r="918" spans="1:28" ht="15" hidden="1">
      <c r="A918" s="151"/>
      <c r="B918" s="151"/>
      <c r="C918" s="151"/>
      <c r="D918" s="151"/>
      <c r="E918" s="151"/>
      <c r="F918" s="151"/>
      <c r="G918" s="151"/>
      <c r="H918" s="151"/>
      <c r="I918" s="151"/>
      <c r="J918" s="151"/>
      <c r="K918" s="151"/>
      <c r="L918" s="151"/>
      <c r="M918" s="151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  <c r="AA918" s="151"/>
      <c r="AB918" s="151"/>
    </row>
    <row r="919" spans="1:28" ht="15" hidden="1">
      <c r="A919" s="151"/>
      <c r="B919" s="151"/>
      <c r="C919" s="151"/>
      <c r="D919" s="151"/>
      <c r="E919" s="151"/>
      <c r="F919" s="151"/>
      <c r="G919" s="151"/>
      <c r="H919" s="151"/>
      <c r="I919" s="151"/>
      <c r="J919" s="151"/>
      <c r="K919" s="151"/>
      <c r="L919" s="151"/>
      <c r="M919" s="151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  <c r="AA919" s="151"/>
      <c r="AB919" s="151"/>
    </row>
    <row r="920" spans="1:28" ht="15" hidden="1">
      <c r="A920" s="151"/>
      <c r="B920" s="151"/>
      <c r="C920" s="151"/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</row>
    <row r="921" spans="1:28" ht="15" hidden="1">
      <c r="A921" s="151"/>
      <c r="B921" s="151"/>
      <c r="C921" s="151"/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</row>
    <row r="922" spans="1:28" ht="15" hidden="1">
      <c r="A922" s="151"/>
      <c r="B922" s="151"/>
      <c r="C922" s="151"/>
      <c r="D922" s="151"/>
      <c r="E922" s="151"/>
      <c r="F922" s="151"/>
      <c r="G922" s="151"/>
      <c r="H922" s="151"/>
      <c r="I922" s="151"/>
      <c r="J922" s="151"/>
      <c r="K922" s="151"/>
      <c r="L922" s="151"/>
      <c r="M922" s="151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  <c r="AA922" s="151"/>
      <c r="AB922" s="151"/>
    </row>
    <row r="923" spans="1:28" ht="15" hidden="1">
      <c r="A923" s="151"/>
      <c r="B923" s="151"/>
      <c r="C923" s="151"/>
      <c r="D923" s="151"/>
      <c r="E923" s="151"/>
      <c r="F923" s="151"/>
      <c r="G923" s="151"/>
      <c r="H923" s="151"/>
      <c r="I923" s="151"/>
      <c r="J923" s="151"/>
      <c r="K923" s="151"/>
      <c r="L923" s="151"/>
      <c r="M923" s="151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  <c r="AA923" s="151"/>
      <c r="AB923" s="151"/>
    </row>
    <row r="924" spans="1:28" ht="15" hidden="1">
      <c r="A924" s="151"/>
      <c r="B924" s="151"/>
      <c r="C924" s="151"/>
      <c r="D924" s="151"/>
      <c r="E924" s="151"/>
      <c r="F924" s="151"/>
      <c r="G924" s="151"/>
      <c r="H924" s="151"/>
      <c r="I924" s="151"/>
      <c r="J924" s="151"/>
      <c r="K924" s="151"/>
      <c r="L924" s="151"/>
      <c r="M924" s="151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  <c r="AA924" s="151"/>
      <c r="AB924" s="151"/>
    </row>
    <row r="925" spans="1:28" ht="15" hidden="1">
      <c r="A925" s="151"/>
      <c r="B925" s="151"/>
      <c r="C925" s="151"/>
      <c r="D925" s="151"/>
      <c r="E925" s="151"/>
      <c r="F925" s="151"/>
      <c r="G925" s="151"/>
      <c r="H925" s="151"/>
      <c r="I925" s="151"/>
      <c r="J925" s="151"/>
      <c r="K925" s="151"/>
      <c r="L925" s="151"/>
      <c r="M925" s="151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  <c r="AA925" s="151"/>
      <c r="AB925" s="151"/>
    </row>
    <row r="926" spans="1:28" ht="15" hidden="1">
      <c r="A926" s="151"/>
      <c r="B926" s="151"/>
      <c r="C926" s="151"/>
      <c r="D926" s="151"/>
      <c r="E926" s="151"/>
      <c r="F926" s="151"/>
      <c r="G926" s="151"/>
      <c r="H926" s="151"/>
      <c r="I926" s="151"/>
      <c r="J926" s="151"/>
      <c r="K926" s="151"/>
      <c r="L926" s="151"/>
      <c r="M926" s="151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  <c r="AA926" s="151"/>
      <c r="AB926" s="151"/>
    </row>
    <row r="927" spans="1:28" ht="15" hidden="1">
      <c r="A927" s="151"/>
      <c r="B927" s="151"/>
      <c r="C927" s="151"/>
      <c r="D927" s="151"/>
      <c r="E927" s="151"/>
      <c r="F927" s="151"/>
      <c r="G927" s="151"/>
      <c r="H927" s="151"/>
      <c r="I927" s="151"/>
      <c r="J927" s="151"/>
      <c r="K927" s="151"/>
      <c r="L927" s="151"/>
      <c r="M927" s="151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  <c r="AA927" s="151"/>
      <c r="AB927" s="151"/>
    </row>
    <row r="928" spans="1:28" ht="15" hidden="1">
      <c r="A928" s="151"/>
      <c r="B928" s="151"/>
      <c r="C928" s="151"/>
      <c r="D928" s="151"/>
      <c r="E928" s="151"/>
      <c r="F928" s="151"/>
      <c r="G928" s="151"/>
      <c r="H928" s="151"/>
      <c r="I928" s="151"/>
      <c r="J928" s="151"/>
      <c r="K928" s="151"/>
      <c r="L928" s="151"/>
      <c r="M928" s="151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  <c r="AA928" s="151"/>
      <c r="AB928" s="151"/>
    </row>
    <row r="929" spans="1:28" ht="15" hidden="1">
      <c r="A929" s="151"/>
      <c r="B929" s="151"/>
      <c r="C929" s="151"/>
      <c r="D929" s="151"/>
      <c r="E929" s="151"/>
      <c r="F929" s="151"/>
      <c r="G929" s="151"/>
      <c r="H929" s="151"/>
      <c r="I929" s="151"/>
      <c r="J929" s="151"/>
      <c r="K929" s="151"/>
      <c r="L929" s="151"/>
      <c r="M929" s="151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  <c r="AA929" s="151"/>
      <c r="AB929" s="151"/>
    </row>
    <row r="930" spans="1:28" ht="15" hidden="1">
      <c r="A930" s="151"/>
      <c r="B930" s="151"/>
      <c r="C930" s="151"/>
      <c r="D930" s="151"/>
      <c r="E930" s="151"/>
      <c r="F930" s="151"/>
      <c r="G930" s="151"/>
      <c r="H930" s="151"/>
      <c r="I930" s="151"/>
      <c r="J930" s="151"/>
      <c r="K930" s="151"/>
      <c r="L930" s="151"/>
      <c r="M930" s="151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  <c r="AA930" s="151"/>
      <c r="AB930" s="151"/>
    </row>
    <row r="931" spans="1:28" ht="15" hidden="1">
      <c r="A931" s="151"/>
      <c r="B931" s="151"/>
      <c r="C931" s="151"/>
      <c r="D931" s="151"/>
      <c r="E931" s="151"/>
      <c r="F931" s="151"/>
      <c r="G931" s="151"/>
      <c r="H931" s="151"/>
      <c r="I931" s="151"/>
      <c r="J931" s="151"/>
      <c r="K931" s="151"/>
      <c r="L931" s="151"/>
      <c r="M931" s="151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  <c r="AA931" s="151"/>
      <c r="AB931" s="151"/>
    </row>
    <row r="932" spans="1:28" ht="15" hidden="1">
      <c r="A932" s="151"/>
      <c r="B932" s="151"/>
      <c r="C932" s="151"/>
      <c r="D932" s="151"/>
      <c r="E932" s="151"/>
      <c r="F932" s="151"/>
      <c r="G932" s="151"/>
      <c r="H932" s="151"/>
      <c r="I932" s="151"/>
      <c r="J932" s="151"/>
      <c r="K932" s="151"/>
      <c r="L932" s="151"/>
      <c r="M932" s="151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  <c r="AA932" s="151"/>
      <c r="AB932" s="151"/>
    </row>
    <row r="933" spans="1:28" ht="15" hidden="1">
      <c r="A933" s="151"/>
      <c r="B933" s="151"/>
      <c r="C933" s="151"/>
      <c r="D933" s="151"/>
      <c r="E933" s="151"/>
      <c r="F933" s="151"/>
      <c r="G933" s="151"/>
      <c r="H933" s="151"/>
      <c r="I933" s="151"/>
      <c r="J933" s="151"/>
      <c r="K933" s="151"/>
      <c r="L933" s="151"/>
      <c r="M933" s="151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  <c r="AA933" s="151"/>
      <c r="AB933" s="151"/>
    </row>
    <row r="934" spans="1:28" ht="15" hidden="1">
      <c r="A934" s="151"/>
      <c r="B934" s="151"/>
      <c r="C934" s="151"/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  <c r="AA934" s="151"/>
      <c r="AB934" s="151"/>
    </row>
    <row r="935" spans="1:28" ht="15" hidden="1">
      <c r="A935" s="151"/>
      <c r="B935" s="151"/>
      <c r="C935" s="151"/>
      <c r="D935" s="151"/>
      <c r="E935" s="151"/>
      <c r="F935" s="151"/>
      <c r="G935" s="151"/>
      <c r="H935" s="151"/>
      <c r="I935" s="151"/>
      <c r="J935" s="151"/>
      <c r="K935" s="151"/>
      <c r="L935" s="151"/>
      <c r="M935" s="151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  <c r="AA935" s="151"/>
      <c r="AB935" s="151"/>
    </row>
    <row r="936" spans="1:28" ht="15" hidden="1">
      <c r="A936" s="151"/>
      <c r="B936" s="151"/>
      <c r="C936" s="151"/>
      <c r="D936" s="151"/>
      <c r="E936" s="151"/>
      <c r="F936" s="151"/>
      <c r="G936" s="151"/>
      <c r="H936" s="151"/>
      <c r="I936" s="151"/>
      <c r="J936" s="151"/>
      <c r="K936" s="151"/>
      <c r="L936" s="151"/>
      <c r="M936" s="151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  <c r="AA936" s="151"/>
      <c r="AB936" s="151"/>
    </row>
    <row r="937" spans="1:28" ht="15" hidden="1">
      <c r="A937" s="151"/>
      <c r="B937" s="151"/>
      <c r="C937" s="151"/>
      <c r="D937" s="151"/>
      <c r="E937" s="151"/>
      <c r="F937" s="151"/>
      <c r="G937" s="151"/>
      <c r="H937" s="151"/>
      <c r="I937" s="151"/>
      <c r="J937" s="151"/>
      <c r="K937" s="151"/>
      <c r="L937" s="151"/>
      <c r="M937" s="151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  <c r="AA937" s="151"/>
      <c r="AB937" s="151"/>
    </row>
    <row r="938" spans="1:28" ht="15" hidden="1">
      <c r="A938" s="151"/>
      <c r="B938" s="151"/>
      <c r="C938" s="151"/>
      <c r="D938" s="151"/>
      <c r="E938" s="151"/>
      <c r="F938" s="151"/>
      <c r="G938" s="151"/>
      <c r="H938" s="151"/>
      <c r="I938" s="151"/>
      <c r="J938" s="151"/>
      <c r="K938" s="151"/>
      <c r="L938" s="151"/>
      <c r="M938" s="151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  <c r="AA938" s="151"/>
      <c r="AB938" s="151"/>
    </row>
    <row r="939" spans="1:28" ht="15" hidden="1">
      <c r="A939" s="151"/>
      <c r="B939" s="151"/>
      <c r="C939" s="151"/>
      <c r="D939" s="151"/>
      <c r="E939" s="151"/>
      <c r="F939" s="151"/>
      <c r="G939" s="151"/>
      <c r="H939" s="151"/>
      <c r="I939" s="151"/>
      <c r="J939" s="151"/>
      <c r="K939" s="151"/>
      <c r="L939" s="151"/>
      <c r="M939" s="151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  <c r="AA939" s="151"/>
      <c r="AB939" s="151"/>
    </row>
    <row r="940" spans="1:28" ht="15" hidden="1">
      <c r="A940" s="151"/>
      <c r="B940" s="151"/>
      <c r="C940" s="151"/>
      <c r="D940" s="151"/>
      <c r="E940" s="151"/>
      <c r="F940" s="151"/>
      <c r="G940" s="151"/>
      <c r="H940" s="151"/>
      <c r="I940" s="151"/>
      <c r="J940" s="151"/>
      <c r="K940" s="151"/>
      <c r="L940" s="151"/>
      <c r="M940" s="151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  <c r="AA940" s="151"/>
      <c r="AB940" s="151"/>
    </row>
    <row r="941" spans="1:28" ht="15" hidden="1">
      <c r="A941" s="151"/>
      <c r="B941" s="151"/>
      <c r="C941" s="151"/>
      <c r="D941" s="151"/>
      <c r="E941" s="151"/>
      <c r="F941" s="151"/>
      <c r="G941" s="151"/>
      <c r="H941" s="151"/>
      <c r="I941" s="151"/>
      <c r="J941" s="151"/>
      <c r="K941" s="151"/>
      <c r="L941" s="151"/>
      <c r="M941" s="151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  <c r="AA941" s="151"/>
      <c r="AB941" s="151"/>
    </row>
    <row r="942" spans="1:28" ht="15" hidden="1">
      <c r="A942" s="151"/>
      <c r="B942" s="151"/>
      <c r="C942" s="151"/>
      <c r="D942" s="151"/>
      <c r="E942" s="151"/>
      <c r="F942" s="151"/>
      <c r="G942" s="151"/>
      <c r="H942" s="151"/>
      <c r="I942" s="151"/>
      <c r="J942" s="151"/>
      <c r="K942" s="151"/>
      <c r="L942" s="151"/>
      <c r="M942" s="151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  <c r="AA942" s="151"/>
      <c r="AB942" s="151"/>
    </row>
    <row r="943" spans="1:28" ht="15" hidden="1">
      <c r="A943" s="151"/>
      <c r="B943" s="151"/>
      <c r="C943" s="151"/>
      <c r="D943" s="151"/>
      <c r="E943" s="151"/>
      <c r="F943" s="151"/>
      <c r="G943" s="151"/>
      <c r="H943" s="151"/>
      <c r="I943" s="151"/>
      <c r="J943" s="151"/>
      <c r="K943" s="151"/>
      <c r="L943" s="151"/>
      <c r="M943" s="151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  <c r="AA943" s="151"/>
      <c r="AB943" s="151"/>
    </row>
    <row r="944" spans="1:28" ht="15" hidden="1">
      <c r="A944" s="151"/>
      <c r="B944" s="151"/>
      <c r="C944" s="151"/>
      <c r="D944" s="151"/>
      <c r="E944" s="151"/>
      <c r="F944" s="151"/>
      <c r="G944" s="151"/>
      <c r="H944" s="151"/>
      <c r="I944" s="151"/>
      <c r="J944" s="151"/>
      <c r="K944" s="151"/>
      <c r="L944" s="151"/>
      <c r="M944" s="151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  <c r="AA944" s="151"/>
      <c r="AB944" s="151"/>
    </row>
    <row r="945" spans="1:28" ht="15" hidden="1">
      <c r="A945" s="151"/>
      <c r="B945" s="151"/>
      <c r="C945" s="151"/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  <c r="AA945" s="151"/>
      <c r="AB945" s="151"/>
    </row>
    <row r="946" spans="1:28" ht="15" hidden="1">
      <c r="A946" s="151"/>
      <c r="B946" s="151"/>
      <c r="C946" s="151"/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  <c r="AA946" s="151"/>
      <c r="AB946" s="151"/>
    </row>
    <row r="947" spans="1:28" ht="15" hidden="1">
      <c r="A947" s="151"/>
      <c r="B947" s="151"/>
      <c r="C947" s="151"/>
      <c r="D947" s="151"/>
      <c r="E947" s="151"/>
      <c r="F947" s="151"/>
      <c r="G947" s="151"/>
      <c r="H947" s="151"/>
      <c r="I947" s="151"/>
      <c r="J947" s="151"/>
      <c r="K947" s="151"/>
      <c r="L947" s="151"/>
      <c r="M947" s="151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  <c r="AA947" s="151"/>
      <c r="AB947" s="151"/>
    </row>
    <row r="948" spans="1:28" ht="15" hidden="1">
      <c r="A948" s="151"/>
      <c r="B948" s="151"/>
      <c r="C948" s="151"/>
      <c r="D948" s="151"/>
      <c r="E948" s="151"/>
      <c r="F948" s="151"/>
      <c r="G948" s="151"/>
      <c r="H948" s="151"/>
      <c r="I948" s="151"/>
      <c r="J948" s="151"/>
      <c r="K948" s="151"/>
      <c r="L948" s="151"/>
      <c r="M948" s="151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  <c r="AA948" s="151"/>
      <c r="AB948" s="151"/>
    </row>
    <row r="949" spans="1:28" ht="15" hidden="1">
      <c r="A949" s="151"/>
      <c r="B949" s="151"/>
      <c r="C949" s="151"/>
      <c r="D949" s="151"/>
      <c r="E949" s="151"/>
      <c r="F949" s="151"/>
      <c r="G949" s="151"/>
      <c r="H949" s="151"/>
      <c r="I949" s="151"/>
      <c r="J949" s="151"/>
      <c r="K949" s="151"/>
      <c r="L949" s="151"/>
      <c r="M949" s="151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  <c r="AA949" s="151"/>
      <c r="AB949" s="151"/>
    </row>
    <row r="950" spans="1:28" ht="15" hidden="1">
      <c r="A950" s="151"/>
      <c r="B950" s="151"/>
      <c r="C950" s="151"/>
      <c r="D950" s="151"/>
      <c r="E950" s="151"/>
      <c r="F950" s="151"/>
      <c r="G950" s="151"/>
      <c r="H950" s="151"/>
      <c r="I950" s="151"/>
      <c r="J950" s="151"/>
      <c r="K950" s="151"/>
      <c r="L950" s="151"/>
      <c r="M950" s="151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  <c r="AA950" s="151"/>
      <c r="AB950" s="151"/>
    </row>
    <row r="951" spans="1:28" ht="15" hidden="1">
      <c r="A951" s="151"/>
      <c r="B951" s="151"/>
      <c r="C951" s="151"/>
      <c r="D951" s="151"/>
      <c r="E951" s="151"/>
      <c r="F951" s="151"/>
      <c r="G951" s="151"/>
      <c r="H951" s="151"/>
      <c r="I951" s="151"/>
      <c r="J951" s="151"/>
      <c r="K951" s="151"/>
      <c r="L951" s="151"/>
      <c r="M951" s="151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  <c r="AA951" s="151"/>
      <c r="AB951" s="151"/>
    </row>
    <row r="952" spans="1:28" ht="15" hidden="1">
      <c r="A952" s="151"/>
      <c r="B952" s="151"/>
      <c r="C952" s="151"/>
      <c r="D952" s="151"/>
      <c r="E952" s="151"/>
      <c r="F952" s="151"/>
      <c r="G952" s="151"/>
      <c r="H952" s="151"/>
      <c r="I952" s="151"/>
      <c r="J952" s="151"/>
      <c r="K952" s="151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  <c r="AA952" s="151"/>
      <c r="AB952" s="151"/>
    </row>
    <row r="953" spans="1:28" ht="15" hidden="1">
      <c r="A953" s="151"/>
      <c r="B953" s="151"/>
      <c r="C953" s="151"/>
      <c r="D953" s="151"/>
      <c r="E953" s="151"/>
      <c r="F953" s="151"/>
      <c r="G953" s="151"/>
      <c r="H953" s="151"/>
      <c r="I953" s="151"/>
      <c r="J953" s="151"/>
      <c r="K953" s="151"/>
      <c r="L953" s="151"/>
      <c r="M953" s="151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  <c r="AA953" s="151"/>
      <c r="AB953" s="151"/>
    </row>
    <row r="954" spans="1:28" ht="15" hidden="1">
      <c r="A954" s="151"/>
      <c r="B954" s="151"/>
      <c r="C954" s="151"/>
      <c r="D954" s="151"/>
      <c r="E954" s="151"/>
      <c r="F954" s="151"/>
      <c r="G954" s="151"/>
      <c r="H954" s="151"/>
      <c r="I954" s="151"/>
      <c r="J954" s="151"/>
      <c r="K954" s="151"/>
      <c r="L954" s="151"/>
      <c r="M954" s="151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  <c r="AA954" s="151"/>
      <c r="AB954" s="151"/>
    </row>
    <row r="955" spans="1:28" ht="15" hidden="1">
      <c r="A955" s="151"/>
      <c r="B955" s="151"/>
      <c r="C955" s="151"/>
      <c r="D955" s="151"/>
      <c r="E955" s="151"/>
      <c r="F955" s="151"/>
      <c r="G955" s="151"/>
      <c r="H955" s="151"/>
      <c r="I955" s="151"/>
      <c r="J955" s="151"/>
      <c r="K955" s="151"/>
      <c r="L955" s="151"/>
      <c r="M955" s="151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  <c r="AA955" s="151"/>
      <c r="AB955" s="151"/>
    </row>
    <row r="956" spans="1:28" ht="15" hidden="1">
      <c r="A956" s="151"/>
      <c r="B956" s="151"/>
      <c r="C956" s="151"/>
      <c r="D956" s="151"/>
      <c r="E956" s="151"/>
      <c r="F956" s="151"/>
      <c r="G956" s="151"/>
      <c r="H956" s="151"/>
      <c r="I956" s="151"/>
      <c r="J956" s="151"/>
      <c r="K956" s="151"/>
      <c r="L956" s="151"/>
      <c r="M956" s="151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  <c r="AA956" s="151"/>
      <c r="AB956" s="151"/>
    </row>
    <row r="957" spans="1:28" ht="15" hidden="1">
      <c r="A957" s="151"/>
      <c r="B957" s="151"/>
      <c r="C957" s="151"/>
      <c r="D957" s="151"/>
      <c r="E957" s="151"/>
      <c r="F957" s="151"/>
      <c r="G957" s="151"/>
      <c r="H957" s="151"/>
      <c r="I957" s="151"/>
      <c r="J957" s="151"/>
      <c r="K957" s="151"/>
      <c r="L957" s="151"/>
      <c r="M957" s="151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  <c r="AA957" s="151"/>
      <c r="AB957" s="151"/>
    </row>
    <row r="958" spans="1:28" ht="15" hidden="1">
      <c r="A958" s="151"/>
      <c r="B958" s="151"/>
      <c r="C958" s="151"/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  <c r="AA958" s="151"/>
      <c r="AB958" s="151"/>
    </row>
    <row r="959" spans="1:28" ht="15" hidden="1">
      <c r="A959" s="151"/>
      <c r="B959" s="151"/>
      <c r="C959" s="151"/>
      <c r="D959" s="151"/>
      <c r="E959" s="151"/>
      <c r="F959" s="151"/>
      <c r="G959" s="151"/>
      <c r="H959" s="151"/>
      <c r="I959" s="151"/>
      <c r="J959" s="151"/>
      <c r="K959" s="151"/>
      <c r="L959" s="151"/>
      <c r="M959" s="151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  <c r="AA959" s="151"/>
      <c r="AB959" s="151"/>
    </row>
    <row r="960" spans="1:28" ht="15" hidden="1">
      <c r="A960" s="151"/>
      <c r="B960" s="151"/>
      <c r="C960" s="151"/>
      <c r="D960" s="151"/>
      <c r="E960" s="151"/>
      <c r="F960" s="151"/>
      <c r="G960" s="151"/>
      <c r="H960" s="151"/>
      <c r="I960" s="151"/>
      <c r="J960" s="151"/>
      <c r="K960" s="151"/>
      <c r="L960" s="151"/>
      <c r="M960" s="151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  <c r="AA960" s="151"/>
      <c r="AB960" s="151"/>
    </row>
    <row r="961" spans="1:28" ht="15" hidden="1">
      <c r="A961" s="151"/>
      <c r="B961" s="151"/>
      <c r="C961" s="151"/>
      <c r="D961" s="151"/>
      <c r="E961" s="151"/>
      <c r="F961" s="151"/>
      <c r="G961" s="151"/>
      <c r="H961" s="151"/>
      <c r="I961" s="151"/>
      <c r="J961" s="151"/>
      <c r="K961" s="151"/>
      <c r="L961" s="151"/>
      <c r="M961" s="151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  <c r="AA961" s="151"/>
      <c r="AB961" s="151"/>
    </row>
    <row r="962" spans="1:28" ht="15" hidden="1">
      <c r="A962" s="151"/>
      <c r="B962" s="151"/>
      <c r="C962" s="151"/>
      <c r="D962" s="151"/>
      <c r="E962" s="151"/>
      <c r="F962" s="151"/>
      <c r="G962" s="151"/>
      <c r="H962" s="151"/>
      <c r="I962" s="151"/>
      <c r="J962" s="151"/>
      <c r="K962" s="151"/>
      <c r="L962" s="151"/>
      <c r="M962" s="151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  <c r="AA962" s="151"/>
      <c r="AB962" s="151"/>
    </row>
    <row r="963" spans="1:28" ht="15" hidden="1">
      <c r="A963" s="151"/>
      <c r="B963" s="151"/>
      <c r="C963" s="151"/>
      <c r="D963" s="151"/>
      <c r="E963" s="151"/>
      <c r="F963" s="151"/>
      <c r="G963" s="151"/>
      <c r="H963" s="151"/>
      <c r="I963" s="151"/>
      <c r="J963" s="151"/>
      <c r="K963" s="151"/>
      <c r="L963" s="151"/>
      <c r="M963" s="151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  <c r="AA963" s="151"/>
      <c r="AB963" s="151"/>
    </row>
    <row r="964" spans="1:28" ht="15" hidden="1">
      <c r="A964" s="151"/>
      <c r="B964" s="151"/>
      <c r="C964" s="151"/>
      <c r="D964" s="151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  <c r="AA964" s="151"/>
      <c r="AB964" s="151"/>
    </row>
    <row r="965" spans="1:28" ht="15" hidden="1">
      <c r="A965" s="151"/>
      <c r="B965" s="151"/>
      <c r="C965" s="151"/>
      <c r="D965" s="151"/>
      <c r="E965" s="151"/>
      <c r="F965" s="151"/>
      <c r="G965" s="151"/>
      <c r="H965" s="151"/>
      <c r="I965" s="151"/>
      <c r="J965" s="151"/>
      <c r="K965" s="151"/>
      <c r="L965" s="151"/>
      <c r="M965" s="151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  <c r="AA965" s="151"/>
      <c r="AB965" s="151"/>
    </row>
    <row r="966" spans="1:28" ht="15" hidden="1">
      <c r="A966" s="151"/>
      <c r="B966" s="151"/>
      <c r="C966" s="151"/>
      <c r="D966" s="151"/>
      <c r="E966" s="151"/>
      <c r="F966" s="151"/>
      <c r="G966" s="151"/>
      <c r="H966" s="151"/>
      <c r="I966" s="151"/>
      <c r="J966" s="151"/>
      <c r="K966" s="151"/>
      <c r="L966" s="151"/>
      <c r="M966" s="151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  <c r="AA966" s="151"/>
      <c r="AB966" s="151"/>
    </row>
    <row r="967" spans="1:28" ht="15" hidden="1">
      <c r="A967" s="151"/>
      <c r="B967" s="151"/>
      <c r="C967" s="151"/>
      <c r="D967" s="151"/>
      <c r="E967" s="151"/>
      <c r="F967" s="151"/>
      <c r="G967" s="151"/>
      <c r="H967" s="151"/>
      <c r="I967" s="151"/>
      <c r="J967" s="151"/>
      <c r="K967" s="151"/>
      <c r="L967" s="151"/>
      <c r="M967" s="151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  <c r="AA967" s="151"/>
      <c r="AB967" s="151"/>
    </row>
    <row r="968" spans="1:28" ht="15" hidden="1">
      <c r="A968" s="151"/>
      <c r="B968" s="151"/>
      <c r="C968" s="151"/>
      <c r="D968" s="151"/>
      <c r="E968" s="151"/>
      <c r="F968" s="151"/>
      <c r="G968" s="151"/>
      <c r="H968" s="151"/>
      <c r="I968" s="151"/>
      <c r="J968" s="151"/>
      <c r="K968" s="151"/>
      <c r="L968" s="151"/>
      <c r="M968" s="151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  <c r="AA968" s="151"/>
      <c r="AB968" s="151"/>
    </row>
    <row r="969" spans="1:28" ht="15" hidden="1">
      <c r="A969" s="151"/>
      <c r="B969" s="151"/>
      <c r="C969" s="151"/>
      <c r="D969" s="151"/>
      <c r="E969" s="151"/>
      <c r="F969" s="151"/>
      <c r="G969" s="151"/>
      <c r="H969" s="151"/>
      <c r="I969" s="151"/>
      <c r="J969" s="151"/>
      <c r="K969" s="151"/>
      <c r="L969" s="151"/>
      <c r="M969" s="151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  <c r="AA969" s="151"/>
      <c r="AB969" s="151"/>
    </row>
    <row r="970" spans="1:28" ht="15" hidden="1">
      <c r="A970" s="151"/>
      <c r="B970" s="151"/>
      <c r="C970" s="151"/>
      <c r="D970" s="151"/>
      <c r="E970" s="151"/>
      <c r="F970" s="151"/>
      <c r="G970" s="151"/>
      <c r="H970" s="151"/>
      <c r="I970" s="151"/>
      <c r="J970" s="151"/>
      <c r="K970" s="151"/>
      <c r="L970" s="151"/>
      <c r="M970" s="151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  <c r="AA970" s="151"/>
      <c r="AB970" s="151"/>
    </row>
    <row r="971" spans="1:28" ht="15" hidden="1">
      <c r="A971" s="151"/>
      <c r="B971" s="151"/>
      <c r="C971" s="151"/>
      <c r="D971" s="151"/>
      <c r="E971" s="151"/>
      <c r="F971" s="151"/>
      <c r="G971" s="151"/>
      <c r="H971" s="151"/>
      <c r="I971" s="151"/>
      <c r="J971" s="151"/>
      <c r="K971" s="151"/>
      <c r="L971" s="151"/>
      <c r="M971" s="151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  <c r="AA971" s="151"/>
      <c r="AB971" s="151"/>
    </row>
    <row r="972" spans="1:28" ht="15" hidden="1">
      <c r="A972" s="151"/>
      <c r="B972" s="151"/>
      <c r="C972" s="151"/>
      <c r="D972" s="151"/>
      <c r="E972" s="151"/>
      <c r="F972" s="151"/>
      <c r="G972" s="151"/>
      <c r="H972" s="151"/>
      <c r="I972" s="151"/>
      <c r="J972" s="151"/>
      <c r="K972" s="151"/>
      <c r="L972" s="151"/>
      <c r="M972" s="151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  <c r="AA972" s="151"/>
      <c r="AB972" s="151"/>
    </row>
    <row r="973" spans="1:28" ht="15" hidden="1">
      <c r="A973" s="151"/>
      <c r="B973" s="151"/>
      <c r="C973" s="151"/>
      <c r="D973" s="151"/>
      <c r="E973" s="151"/>
      <c r="F973" s="151"/>
      <c r="G973" s="151"/>
      <c r="H973" s="151"/>
      <c r="I973" s="151"/>
      <c r="J973" s="151"/>
      <c r="K973" s="151"/>
      <c r="L973" s="151"/>
      <c r="M973" s="151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  <c r="AA973" s="151"/>
      <c r="AB973" s="151"/>
    </row>
    <row r="974" spans="1:28" ht="15" hidden="1">
      <c r="A974" s="151"/>
      <c r="B974" s="151"/>
      <c r="C974" s="151"/>
      <c r="D974" s="151"/>
      <c r="E974" s="151"/>
      <c r="F974" s="151"/>
      <c r="G974" s="151"/>
      <c r="H974" s="151"/>
      <c r="I974" s="151"/>
      <c r="J974" s="151"/>
      <c r="K974" s="151"/>
      <c r="L974" s="151"/>
      <c r="M974" s="151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  <c r="AA974" s="151"/>
      <c r="AB974" s="151"/>
    </row>
    <row r="975" spans="1:28" ht="15" hidden="1">
      <c r="A975" s="151"/>
      <c r="B975" s="151"/>
      <c r="C975" s="151"/>
      <c r="D975" s="151"/>
      <c r="E975" s="151"/>
      <c r="F975" s="151"/>
      <c r="G975" s="151"/>
      <c r="H975" s="151"/>
      <c r="I975" s="151"/>
      <c r="J975" s="151"/>
      <c r="K975" s="151"/>
      <c r="L975" s="151"/>
      <c r="M975" s="151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  <c r="AA975" s="151"/>
      <c r="AB975" s="151"/>
    </row>
    <row r="976" spans="1:28" ht="15" hidden="1">
      <c r="A976" s="151"/>
      <c r="B976" s="151"/>
      <c r="C976" s="151"/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  <c r="AA976" s="151"/>
      <c r="AB976" s="151"/>
    </row>
    <row r="977" spans="1:28" ht="15" hidden="1">
      <c r="A977" s="151"/>
      <c r="B977" s="151"/>
      <c r="C977" s="151"/>
      <c r="D977" s="151"/>
      <c r="E977" s="151"/>
      <c r="F977" s="151"/>
      <c r="G977" s="151"/>
      <c r="H977" s="151"/>
      <c r="I977" s="151"/>
      <c r="J977" s="151"/>
      <c r="K977" s="151"/>
      <c r="L977" s="151"/>
      <c r="M977" s="151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  <c r="AA977" s="151"/>
      <c r="AB977" s="151"/>
    </row>
    <row r="978" spans="1:28" ht="15" hidden="1">
      <c r="A978" s="151"/>
      <c r="B978" s="151"/>
      <c r="C978" s="151"/>
      <c r="D978" s="151"/>
      <c r="E978" s="151"/>
      <c r="F978" s="151"/>
      <c r="G978" s="151"/>
      <c r="H978" s="151"/>
      <c r="I978" s="151"/>
      <c r="J978" s="151"/>
      <c r="K978" s="151"/>
      <c r="L978" s="151"/>
      <c r="M978" s="151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  <c r="AA978" s="151"/>
      <c r="AB978" s="151"/>
    </row>
    <row r="979" spans="1:28" ht="15" hidden="1">
      <c r="A979" s="151"/>
      <c r="B979" s="151"/>
      <c r="C979" s="151"/>
      <c r="D979" s="151"/>
      <c r="E979" s="151"/>
      <c r="F979" s="151"/>
      <c r="G979" s="151"/>
      <c r="H979" s="151"/>
      <c r="I979" s="151"/>
      <c r="J979" s="151"/>
      <c r="K979" s="151"/>
      <c r="L979" s="151"/>
      <c r="M979" s="151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1"/>
      <c r="AA979" s="151"/>
      <c r="AB979" s="151"/>
    </row>
    <row r="980" spans="1:28" ht="15" hidden="1">
      <c r="A980" s="151"/>
      <c r="B980" s="151"/>
      <c r="C980" s="151"/>
      <c r="D980" s="151"/>
      <c r="E980" s="151"/>
      <c r="F980" s="151"/>
      <c r="G980" s="151"/>
      <c r="H980" s="151"/>
      <c r="I980" s="151"/>
      <c r="J980" s="151"/>
      <c r="K980" s="151"/>
      <c r="L980" s="151"/>
      <c r="M980" s="151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1"/>
      <c r="AA980" s="151"/>
      <c r="AB980" s="151"/>
    </row>
    <row r="981" spans="1:28" ht="15" hidden="1">
      <c r="A981" s="151"/>
      <c r="B981" s="151"/>
      <c r="C981" s="151"/>
      <c r="D981" s="151"/>
      <c r="E981" s="151"/>
      <c r="F981" s="151"/>
      <c r="G981" s="151"/>
      <c r="H981" s="151"/>
      <c r="I981" s="151"/>
      <c r="J981" s="151"/>
      <c r="K981" s="151"/>
      <c r="L981" s="151"/>
      <c r="M981" s="151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1"/>
      <c r="AA981" s="151"/>
      <c r="AB981" s="151"/>
    </row>
    <row r="982" spans="1:28" ht="15" hidden="1">
      <c r="A982" s="151"/>
      <c r="B982" s="151"/>
      <c r="C982" s="151"/>
      <c r="D982" s="151"/>
      <c r="E982" s="151"/>
      <c r="F982" s="151"/>
      <c r="G982" s="151"/>
      <c r="H982" s="151"/>
      <c r="I982" s="151"/>
      <c r="J982" s="151"/>
      <c r="K982" s="151"/>
      <c r="L982" s="151"/>
      <c r="M982" s="151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1"/>
      <c r="AA982" s="151"/>
      <c r="AB982" s="151"/>
    </row>
    <row r="983" spans="1:28" ht="15" hidden="1">
      <c r="A983" s="151"/>
      <c r="B983" s="151"/>
      <c r="C983" s="151"/>
      <c r="D983" s="151"/>
      <c r="E983" s="151"/>
      <c r="F983" s="151"/>
      <c r="G983" s="151"/>
      <c r="H983" s="151"/>
      <c r="I983" s="151"/>
      <c r="J983" s="151"/>
      <c r="K983" s="151"/>
      <c r="L983" s="151"/>
      <c r="M983" s="151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1"/>
      <c r="AA983" s="151"/>
      <c r="AB983" s="151"/>
    </row>
    <row r="984" spans="1:28" ht="15" hidden="1">
      <c r="A984" s="151"/>
      <c r="B984" s="151"/>
      <c r="C984" s="151"/>
      <c r="D984" s="151"/>
      <c r="E984" s="151"/>
      <c r="F984" s="151"/>
      <c r="G984" s="151"/>
      <c r="H984" s="151"/>
      <c r="I984" s="151"/>
      <c r="J984" s="151"/>
      <c r="K984" s="151"/>
      <c r="L984" s="151"/>
      <c r="M984" s="151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1"/>
      <c r="AA984" s="151"/>
      <c r="AB984" s="151"/>
    </row>
    <row r="985" spans="1:28" ht="15" hidden="1">
      <c r="A985" s="151"/>
      <c r="B985" s="151"/>
      <c r="C985" s="151"/>
      <c r="D985" s="151"/>
      <c r="E985" s="151"/>
      <c r="F985" s="151"/>
      <c r="G985" s="151"/>
      <c r="H985" s="151"/>
      <c r="I985" s="151"/>
      <c r="J985" s="151"/>
      <c r="K985" s="151"/>
      <c r="L985" s="151"/>
      <c r="M985" s="151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1"/>
      <c r="AA985" s="151"/>
      <c r="AB985" s="151"/>
    </row>
    <row r="986" spans="1:28" ht="15" hidden="1">
      <c r="A986" s="151"/>
      <c r="B986" s="151"/>
      <c r="C986" s="151"/>
      <c r="D986" s="151"/>
      <c r="E986" s="151"/>
      <c r="F986" s="151"/>
      <c r="G986" s="151"/>
      <c r="H986" s="151"/>
      <c r="I986" s="151"/>
      <c r="J986" s="151"/>
      <c r="K986" s="151"/>
      <c r="L986" s="151"/>
      <c r="M986" s="151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1"/>
      <c r="AA986" s="151"/>
      <c r="AB986" s="151"/>
    </row>
    <row r="987" spans="1:28" ht="15" hidden="1">
      <c r="A987" s="151"/>
      <c r="B987" s="151"/>
      <c r="C987" s="151"/>
      <c r="D987" s="151"/>
      <c r="E987" s="151"/>
      <c r="F987" s="151"/>
      <c r="G987" s="151"/>
      <c r="H987" s="151"/>
      <c r="I987" s="151"/>
      <c r="J987" s="151"/>
      <c r="K987" s="151"/>
      <c r="L987" s="151"/>
      <c r="M987" s="151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1"/>
      <c r="AA987" s="151"/>
      <c r="AB987" s="151"/>
    </row>
    <row r="988" spans="1:28" ht="15" hidden="1">
      <c r="A988" s="151"/>
      <c r="B988" s="151"/>
      <c r="C988" s="151"/>
      <c r="D988" s="151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1"/>
      <c r="AA988" s="151"/>
      <c r="AB988" s="151"/>
    </row>
    <row r="989" spans="1:28" ht="15" hidden="1">
      <c r="A989" s="151"/>
      <c r="B989" s="151"/>
      <c r="C989" s="151"/>
      <c r="D989" s="151"/>
      <c r="E989" s="151"/>
      <c r="F989" s="151"/>
      <c r="G989" s="151"/>
      <c r="H989" s="151"/>
      <c r="I989" s="151"/>
      <c r="J989" s="151"/>
      <c r="K989" s="151"/>
      <c r="L989" s="151"/>
      <c r="M989" s="151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1"/>
      <c r="AA989" s="151"/>
      <c r="AB989" s="151"/>
    </row>
    <row r="990" spans="1:28" ht="15" hidden="1">
      <c r="A990" s="151"/>
      <c r="B990" s="151"/>
      <c r="C990" s="151"/>
      <c r="D990" s="151"/>
      <c r="E990" s="151"/>
      <c r="F990" s="151"/>
      <c r="G990" s="151"/>
      <c r="H990" s="151"/>
      <c r="I990" s="151"/>
      <c r="J990" s="151"/>
      <c r="K990" s="151"/>
      <c r="L990" s="151"/>
      <c r="M990" s="151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1"/>
      <c r="AA990" s="151"/>
      <c r="AB990" s="151"/>
    </row>
    <row r="991" spans="1:28" ht="15" hidden="1">
      <c r="A991" s="151"/>
      <c r="B991" s="151"/>
      <c r="C991" s="151"/>
      <c r="D991" s="151"/>
      <c r="E991" s="151"/>
      <c r="F991" s="151"/>
      <c r="G991" s="151"/>
      <c r="H991" s="151"/>
      <c r="I991" s="151"/>
      <c r="J991" s="151"/>
      <c r="K991" s="151"/>
      <c r="L991" s="151"/>
      <c r="M991" s="151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1"/>
      <c r="AA991" s="151"/>
      <c r="AB991" s="151"/>
    </row>
    <row r="992" spans="1:28" ht="15" hidden="1">
      <c r="A992" s="151"/>
      <c r="B992" s="151"/>
      <c r="C992" s="151"/>
      <c r="D992" s="151"/>
      <c r="E992" s="151"/>
      <c r="F992" s="151"/>
      <c r="G992" s="151"/>
      <c r="H992" s="151"/>
      <c r="I992" s="151"/>
      <c r="J992" s="151"/>
      <c r="K992" s="151"/>
      <c r="L992" s="151"/>
      <c r="M992" s="151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1"/>
      <c r="AA992" s="151"/>
      <c r="AB992" s="151"/>
    </row>
    <row r="993" spans="1:28" ht="15" hidden="1">
      <c r="A993" s="151"/>
      <c r="B993" s="151"/>
      <c r="C993" s="151"/>
      <c r="D993" s="151"/>
      <c r="E993" s="151"/>
      <c r="F993" s="151"/>
      <c r="G993" s="151"/>
      <c r="H993" s="151"/>
      <c r="I993" s="151"/>
      <c r="J993" s="151"/>
      <c r="K993" s="151"/>
      <c r="L993" s="151"/>
      <c r="M993" s="151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1"/>
      <c r="AA993" s="151"/>
      <c r="AB993" s="151"/>
    </row>
    <row r="994" spans="1:28" ht="15" hidden="1">
      <c r="A994" s="151"/>
      <c r="B994" s="151"/>
      <c r="C994" s="151"/>
      <c r="D994" s="151"/>
      <c r="E994" s="151"/>
      <c r="F994" s="151"/>
      <c r="G994" s="151"/>
      <c r="H994" s="151"/>
      <c r="I994" s="151"/>
      <c r="J994" s="151"/>
      <c r="K994" s="151"/>
      <c r="L994" s="151"/>
      <c r="M994" s="151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  <c r="AA994" s="151"/>
      <c r="AB994" s="151"/>
    </row>
    <row r="995" spans="1:28" ht="15" hidden="1">
      <c r="A995" s="151"/>
      <c r="B995" s="151"/>
      <c r="C995" s="151"/>
      <c r="D995" s="151"/>
      <c r="E995" s="151"/>
      <c r="F995" s="151"/>
      <c r="G995" s="151"/>
      <c r="H995" s="151"/>
      <c r="I995" s="151"/>
      <c r="J995" s="151"/>
      <c r="K995" s="151"/>
      <c r="L995" s="151"/>
      <c r="M995" s="151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1"/>
      <c r="AA995" s="151"/>
      <c r="AB995" s="151"/>
    </row>
    <row r="996" spans="1:28" ht="15" hidden="1">
      <c r="A996" s="151"/>
      <c r="B996" s="151"/>
      <c r="C996" s="151"/>
      <c r="D996" s="151"/>
      <c r="E996" s="151"/>
      <c r="F996" s="151"/>
      <c r="G996" s="151"/>
      <c r="H996" s="151"/>
      <c r="I996" s="151"/>
      <c r="J996" s="151"/>
      <c r="V996" s="151"/>
      <c r="W996" s="151"/>
      <c r="X996" s="151"/>
      <c r="Y996" s="151"/>
      <c r="Z996" s="151"/>
      <c r="AA996" s="151"/>
      <c r="AB996" s="151"/>
    </row>
  </sheetData>
  <sheetProtection algorithmName="SHA-512" hashValue="T6Gm3Bp1qp7tSjBNLrxStezp7w7lnqX0ekOj0p4nJwrDruXCXzbGkcMv8xJORdbp05oEbzR7gG+nw6rHYYPF2Q==" saltValue="CG75i0rKzquga68MOLR6VQ==" spinCount="100000" sheet="1" selectLockedCells="1"/>
  <sortState ref="K7:U136">
    <sortCondition ref="U7:U136"/>
    <sortCondition ref="M7:M136"/>
  </sortState>
  <dataConsolidate/>
  <mergeCells count="11">
    <mergeCell ref="B21:E21"/>
    <mergeCell ref="B25:E25"/>
    <mergeCell ref="B30:E30"/>
    <mergeCell ref="B9:E9"/>
    <mergeCell ref="B10:E10"/>
    <mergeCell ref="C3:E3"/>
    <mergeCell ref="C4:E4"/>
    <mergeCell ref="C5:E5"/>
    <mergeCell ref="C6:E6"/>
    <mergeCell ref="B11:E11"/>
    <mergeCell ref="C7:E7"/>
  </mergeCells>
  <phoneticPr fontId="39" type="noConversion"/>
  <dataValidations count="1">
    <dataValidation type="list" allowBlank="1" showInputMessage="1" showErrorMessage="1" prompt="Molimo odabrati proračunskog korisnika iz padajućeg izbornika!" sqref="C3:E3">
      <formula1>$L$6:$L$137</formula1>
    </dataValidation>
  </dataValidations>
  <pageMargins left="0.7" right="0.7" top="0.75" bottom="0.75" header="0.3" footer="0.3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18"/>
  <sheetViews>
    <sheetView workbookViewId="0">
      <selection activeCell="B113" sqref="B113"/>
    </sheetView>
  </sheetViews>
  <sheetFormatPr defaultRowHeight="15"/>
  <cols>
    <col min="1" max="1" width="11.28515625" bestFit="1" customWidth="1"/>
    <col min="2" max="2" width="91.140625" customWidth="1"/>
    <col min="3" max="3" width="20.42578125" style="234" bestFit="1" customWidth="1"/>
    <col min="4" max="5" width="23.7109375" style="235" customWidth="1"/>
    <col min="6" max="6" width="11.7109375" style="231" customWidth="1"/>
  </cols>
  <sheetData>
    <row r="1" spans="1:6" ht="20.25" thickBot="1">
      <c r="A1" s="228" t="s">
        <v>735</v>
      </c>
      <c r="B1" s="228" t="s">
        <v>200</v>
      </c>
      <c r="C1" s="229" t="s">
        <v>1952</v>
      </c>
      <c r="D1" s="228"/>
      <c r="E1" s="228"/>
      <c r="F1" s="230" t="s">
        <v>1953</v>
      </c>
    </row>
    <row r="2" spans="1:6" ht="15.75" thickTop="1">
      <c r="B2" s="6" t="s">
        <v>254</v>
      </c>
      <c r="C2" s="6">
        <v>11</v>
      </c>
      <c r="D2" s="6" t="s">
        <v>50</v>
      </c>
      <c r="E2" s="6">
        <v>671</v>
      </c>
      <c r="F2" s="6" t="s">
        <v>750</v>
      </c>
    </row>
    <row r="3" spans="1:6">
      <c r="B3" s="6" t="s">
        <v>254</v>
      </c>
      <c r="C3" s="6">
        <v>12</v>
      </c>
      <c r="D3" s="6" t="s">
        <v>257</v>
      </c>
      <c r="E3" s="6">
        <v>671</v>
      </c>
      <c r="F3" s="6" t="s">
        <v>751</v>
      </c>
    </row>
    <row r="4" spans="1:6">
      <c r="B4" s="6" t="s">
        <v>1357</v>
      </c>
      <c r="C4" s="6">
        <v>41</v>
      </c>
      <c r="D4" s="6" t="s">
        <v>1353</v>
      </c>
      <c r="E4" s="6">
        <v>614</v>
      </c>
      <c r="F4" s="6">
        <v>614810041</v>
      </c>
    </row>
    <row r="5" spans="1:6">
      <c r="B5" s="6" t="s">
        <v>1358</v>
      </c>
      <c r="C5" s="6">
        <v>41</v>
      </c>
      <c r="D5" s="6" t="s">
        <v>1353</v>
      </c>
      <c r="E5" s="6">
        <v>614</v>
      </c>
      <c r="F5" s="6">
        <v>614820041</v>
      </c>
    </row>
    <row r="6" spans="1:6">
      <c r="B6" s="6" t="s">
        <v>1359</v>
      </c>
      <c r="C6" s="6">
        <v>41</v>
      </c>
      <c r="D6" s="6" t="s">
        <v>1353</v>
      </c>
      <c r="E6" s="6">
        <v>614</v>
      </c>
      <c r="F6" s="6">
        <v>614830041</v>
      </c>
    </row>
    <row r="7" spans="1:6">
      <c r="B7" s="6" t="s">
        <v>1360</v>
      </c>
      <c r="C7" s="6">
        <v>41</v>
      </c>
      <c r="D7" s="6" t="s">
        <v>1353</v>
      </c>
      <c r="E7" s="6">
        <v>614</v>
      </c>
      <c r="F7" s="6">
        <v>614840041</v>
      </c>
    </row>
    <row r="8" spans="1:6">
      <c r="B8" s="6" t="s">
        <v>25</v>
      </c>
      <c r="C8" s="6">
        <v>52</v>
      </c>
      <c r="D8" s="6" t="s">
        <v>1873</v>
      </c>
      <c r="E8" s="6">
        <v>631</v>
      </c>
      <c r="F8" s="6">
        <v>631110000</v>
      </c>
    </row>
    <row r="9" spans="1:6">
      <c r="B9" s="6" t="s">
        <v>26</v>
      </c>
      <c r="C9" s="6">
        <v>52</v>
      </c>
      <c r="D9" s="6" t="s">
        <v>1873</v>
      </c>
      <c r="E9" s="6">
        <v>631</v>
      </c>
      <c r="F9" s="6">
        <v>631120000</v>
      </c>
    </row>
    <row r="10" spans="1:6">
      <c r="B10" s="6" t="s">
        <v>27</v>
      </c>
      <c r="C10" s="6">
        <v>52</v>
      </c>
      <c r="D10" s="6" t="s">
        <v>1873</v>
      </c>
      <c r="E10" s="6">
        <v>631</v>
      </c>
      <c r="F10" s="6">
        <v>631210000</v>
      </c>
    </row>
    <row r="11" spans="1:6" s="238" customFormat="1">
      <c r="B11" s="6" t="s">
        <v>28</v>
      </c>
      <c r="C11" s="6">
        <v>52</v>
      </c>
      <c r="D11" s="6" t="s">
        <v>1873</v>
      </c>
      <c r="E11" s="6">
        <v>631</v>
      </c>
      <c r="F11" s="6">
        <v>631220000</v>
      </c>
    </row>
    <row r="12" spans="1:6" s="238" customFormat="1">
      <c r="B12" s="6" t="s">
        <v>1874</v>
      </c>
      <c r="C12" s="6">
        <v>52</v>
      </c>
      <c r="D12" s="6" t="s">
        <v>1873</v>
      </c>
      <c r="E12" s="6">
        <v>632</v>
      </c>
      <c r="F12" s="6">
        <v>632112000</v>
      </c>
    </row>
    <row r="13" spans="1:6" s="238" customFormat="1">
      <c r="B13" s="6" t="s">
        <v>1875</v>
      </c>
      <c r="C13" s="6">
        <v>52</v>
      </c>
      <c r="D13" s="6" t="s">
        <v>1873</v>
      </c>
      <c r="E13" s="6">
        <v>632</v>
      </c>
      <c r="F13" s="6">
        <v>632212000</v>
      </c>
    </row>
    <row r="14" spans="1:6" s="238" customFormat="1">
      <c r="B14" s="6" t="s">
        <v>1362</v>
      </c>
      <c r="C14" s="6">
        <v>552</v>
      </c>
      <c r="D14" s="6" t="s">
        <v>1354</v>
      </c>
      <c r="E14" s="6">
        <v>632</v>
      </c>
      <c r="F14" s="6">
        <v>632310552</v>
      </c>
    </row>
    <row r="15" spans="1:6" s="238" customFormat="1">
      <c r="B15" s="6" t="s">
        <v>1363</v>
      </c>
      <c r="C15" s="6">
        <v>559</v>
      </c>
      <c r="D15" s="6" t="s">
        <v>1355</v>
      </c>
      <c r="E15" s="6">
        <v>632</v>
      </c>
      <c r="F15" s="6">
        <v>632310559</v>
      </c>
    </row>
    <row r="16" spans="1:6" s="238" customFormat="1">
      <c r="B16" s="6" t="s">
        <v>115</v>
      </c>
      <c r="C16" s="6">
        <v>561</v>
      </c>
      <c r="D16" s="6" t="s">
        <v>115</v>
      </c>
      <c r="E16" s="6">
        <v>632</v>
      </c>
      <c r="F16" s="6">
        <v>632310561</v>
      </c>
    </row>
    <row r="17" spans="2:6" s="238" customFormat="1">
      <c r="B17" s="6" t="s">
        <v>1954</v>
      </c>
      <c r="C17" s="6">
        <v>563</v>
      </c>
      <c r="D17" s="6" t="s">
        <v>117</v>
      </c>
      <c r="E17" s="6">
        <v>632</v>
      </c>
      <c r="F17" s="6">
        <v>632310563</v>
      </c>
    </row>
    <row r="18" spans="2:6" s="238" customFormat="1">
      <c r="B18" s="6" t="s">
        <v>1364</v>
      </c>
      <c r="C18" s="6">
        <v>573</v>
      </c>
      <c r="D18" s="6" t="s">
        <v>1365</v>
      </c>
      <c r="E18" s="6">
        <v>632</v>
      </c>
      <c r="F18" s="6">
        <v>632310573</v>
      </c>
    </row>
    <row r="19" spans="2:6" s="238" customFormat="1">
      <c r="B19" s="6" t="s">
        <v>1366</v>
      </c>
      <c r="C19" s="6">
        <v>575</v>
      </c>
      <c r="D19" s="6" t="s">
        <v>1367</v>
      </c>
      <c r="E19" s="6">
        <v>632</v>
      </c>
      <c r="F19" s="6">
        <v>632310575</v>
      </c>
    </row>
    <row r="20" spans="2:6" s="238" customFormat="1">
      <c r="B20" s="6" t="s">
        <v>1990</v>
      </c>
      <c r="C20" s="6">
        <v>576</v>
      </c>
      <c r="D20" s="6" t="s">
        <v>1905</v>
      </c>
      <c r="E20" s="6">
        <v>632</v>
      </c>
      <c r="F20" s="6">
        <v>632315761</v>
      </c>
    </row>
    <row r="21" spans="2:6" s="238" customFormat="1">
      <c r="B21" s="6" t="s">
        <v>1992</v>
      </c>
      <c r="C21" s="6">
        <v>581</v>
      </c>
      <c r="D21" s="6" t="s">
        <v>1988</v>
      </c>
      <c r="E21" s="6">
        <v>632</v>
      </c>
      <c r="F21" s="6">
        <v>632310581</v>
      </c>
    </row>
    <row r="22" spans="2:6" s="238" customFormat="1">
      <c r="B22" s="6" t="s">
        <v>23</v>
      </c>
      <c r="C22" s="6">
        <v>51</v>
      </c>
      <c r="D22" s="6" t="s">
        <v>1876</v>
      </c>
      <c r="E22" s="6">
        <v>632</v>
      </c>
      <c r="F22" s="6">
        <v>632311700</v>
      </c>
    </row>
    <row r="23" spans="2:6" s="238" customFormat="1">
      <c r="B23" s="6" t="s">
        <v>241</v>
      </c>
      <c r="C23" s="6">
        <v>51</v>
      </c>
      <c r="D23" s="6" t="s">
        <v>1876</v>
      </c>
      <c r="E23" s="6">
        <v>632</v>
      </c>
      <c r="F23" s="6">
        <v>632311800</v>
      </c>
    </row>
    <row r="24" spans="2:6" s="238" customFormat="1">
      <c r="B24" s="6" t="s">
        <v>1368</v>
      </c>
      <c r="C24" s="6">
        <v>552</v>
      </c>
      <c r="D24" s="6" t="s">
        <v>1354</v>
      </c>
      <c r="E24" s="6">
        <v>632</v>
      </c>
      <c r="F24" s="6">
        <v>632410552</v>
      </c>
    </row>
    <row r="25" spans="2:6" s="238" customFormat="1">
      <c r="B25" s="6" t="s">
        <v>1369</v>
      </c>
      <c r="C25" s="6">
        <v>559</v>
      </c>
      <c r="D25" s="6" t="s">
        <v>1355</v>
      </c>
      <c r="E25" s="6">
        <v>632</v>
      </c>
      <c r="F25" s="6">
        <v>632410559</v>
      </c>
    </row>
    <row r="26" spans="2:6" s="238" customFormat="1">
      <c r="B26" s="6" t="s">
        <v>115</v>
      </c>
      <c r="C26" s="6">
        <v>561</v>
      </c>
      <c r="D26" s="6" t="s">
        <v>115</v>
      </c>
      <c r="E26" s="6">
        <v>632</v>
      </c>
      <c r="F26" s="6">
        <v>632410561</v>
      </c>
    </row>
    <row r="27" spans="2:6" s="238" customFormat="1">
      <c r="B27" s="6" t="s">
        <v>1954</v>
      </c>
      <c r="C27" s="6">
        <v>563</v>
      </c>
      <c r="D27" s="6" t="s">
        <v>117</v>
      </c>
      <c r="E27" s="6">
        <v>632</v>
      </c>
      <c r="F27" s="6">
        <v>632410563</v>
      </c>
    </row>
    <row r="28" spans="2:6" s="238" customFormat="1">
      <c r="B28" s="6" t="s">
        <v>1370</v>
      </c>
      <c r="C28" s="6">
        <v>573</v>
      </c>
      <c r="D28" s="6" t="s">
        <v>1365</v>
      </c>
      <c r="E28" s="6">
        <v>632</v>
      </c>
      <c r="F28" s="6">
        <v>632410573</v>
      </c>
    </row>
    <row r="29" spans="2:6" s="238" customFormat="1">
      <c r="B29" s="6" t="s">
        <v>1371</v>
      </c>
      <c r="C29" s="6">
        <v>575</v>
      </c>
      <c r="D29" s="6" t="s">
        <v>1367</v>
      </c>
      <c r="E29" s="6">
        <v>632</v>
      </c>
      <c r="F29" s="6">
        <v>632410575</v>
      </c>
    </row>
    <row r="30" spans="2:6">
      <c r="B30" s="6" t="s">
        <v>1991</v>
      </c>
      <c r="C30" s="6">
        <v>576</v>
      </c>
      <c r="D30" s="6" t="s">
        <v>1905</v>
      </c>
      <c r="E30" s="6">
        <v>632</v>
      </c>
      <c r="F30" s="6">
        <v>632415761</v>
      </c>
    </row>
    <row r="31" spans="2:6">
      <c r="B31" s="6" t="s">
        <v>1993</v>
      </c>
      <c r="C31" s="6">
        <v>581</v>
      </c>
      <c r="D31" s="6" t="s">
        <v>1988</v>
      </c>
      <c r="E31" s="6">
        <v>632</v>
      </c>
      <c r="F31" s="6">
        <v>632410581</v>
      </c>
    </row>
    <row r="32" spans="2:6">
      <c r="B32" s="6" t="s">
        <v>24</v>
      </c>
      <c r="C32" s="6">
        <v>51</v>
      </c>
      <c r="D32" s="6" t="s">
        <v>1876</v>
      </c>
      <c r="E32" s="6">
        <v>632</v>
      </c>
      <c r="F32" s="6">
        <v>632411700</v>
      </c>
    </row>
    <row r="33" spans="2:6">
      <c r="B33" s="6" t="s">
        <v>1907</v>
      </c>
      <c r="C33" s="6">
        <v>52</v>
      </c>
      <c r="D33" s="6" t="s">
        <v>1873</v>
      </c>
      <c r="E33" s="6">
        <v>634</v>
      </c>
      <c r="F33" s="6">
        <v>6341</v>
      </c>
    </row>
    <row r="34" spans="2:6">
      <c r="B34" s="6" t="s">
        <v>1908</v>
      </c>
      <c r="C34" s="6">
        <v>52</v>
      </c>
      <c r="D34" s="6" t="s">
        <v>1873</v>
      </c>
      <c r="E34" s="6">
        <v>634</v>
      </c>
      <c r="F34" s="6">
        <v>6342</v>
      </c>
    </row>
    <row r="35" spans="2:6">
      <c r="B35" s="6" t="s">
        <v>1877</v>
      </c>
      <c r="C35" s="6">
        <v>52</v>
      </c>
      <c r="D35" s="6" t="s">
        <v>1873</v>
      </c>
      <c r="E35" s="6">
        <v>636</v>
      </c>
      <c r="F35" s="6">
        <v>6361</v>
      </c>
    </row>
    <row r="36" spans="2:6">
      <c r="B36" s="6" t="s">
        <v>1878</v>
      </c>
      <c r="C36" s="6">
        <v>52</v>
      </c>
      <c r="D36" s="6" t="s">
        <v>1873</v>
      </c>
      <c r="E36" s="6">
        <v>636</v>
      </c>
      <c r="F36" s="6">
        <v>6362</v>
      </c>
    </row>
    <row r="37" spans="2:6">
      <c r="B37" s="6" t="s">
        <v>1994</v>
      </c>
      <c r="C37" s="6">
        <v>52</v>
      </c>
      <c r="D37" s="6" t="s">
        <v>1873</v>
      </c>
      <c r="E37" s="6">
        <v>638</v>
      </c>
      <c r="F37" s="6">
        <v>6381</v>
      </c>
    </row>
    <row r="38" spans="2:6">
      <c r="B38" s="6" t="s">
        <v>1995</v>
      </c>
      <c r="C38" s="6">
        <v>52</v>
      </c>
      <c r="D38" s="6" t="s">
        <v>1873</v>
      </c>
      <c r="E38" s="6">
        <v>638</v>
      </c>
      <c r="F38" s="6">
        <v>6382</v>
      </c>
    </row>
    <row r="39" spans="2:6">
      <c r="B39" s="6" t="s">
        <v>31</v>
      </c>
      <c r="C39" s="6">
        <v>52</v>
      </c>
      <c r="D39" s="6" t="s">
        <v>1873</v>
      </c>
      <c r="E39" s="6">
        <v>639</v>
      </c>
      <c r="F39" s="6">
        <v>6391</v>
      </c>
    </row>
    <row r="40" spans="2:6">
      <c r="B40" s="6" t="s">
        <v>32</v>
      </c>
      <c r="C40" s="6">
        <v>52</v>
      </c>
      <c r="D40" s="6" t="s">
        <v>1873</v>
      </c>
      <c r="E40" s="6">
        <v>639</v>
      </c>
      <c r="F40" s="6">
        <v>6392</v>
      </c>
    </row>
    <row r="41" spans="2:6">
      <c r="B41" s="6" t="s">
        <v>33</v>
      </c>
      <c r="C41" s="6">
        <v>52</v>
      </c>
      <c r="D41" s="6" t="s">
        <v>1873</v>
      </c>
      <c r="E41" s="6">
        <v>639</v>
      </c>
      <c r="F41" s="6">
        <v>6393</v>
      </c>
    </row>
    <row r="42" spans="2:6">
      <c r="B42" s="6" t="s">
        <v>34</v>
      </c>
      <c r="C42" s="6">
        <v>52</v>
      </c>
      <c r="D42" s="6" t="s">
        <v>1873</v>
      </c>
      <c r="E42" s="6">
        <v>639</v>
      </c>
      <c r="F42" s="6">
        <v>6394</v>
      </c>
    </row>
    <row r="43" spans="2:6">
      <c r="B43" s="6" t="s">
        <v>230</v>
      </c>
      <c r="C43" s="6">
        <v>31</v>
      </c>
      <c r="D43" s="6" t="s">
        <v>95</v>
      </c>
      <c r="E43" s="6">
        <v>641</v>
      </c>
      <c r="F43" s="6">
        <v>641290031</v>
      </c>
    </row>
    <row r="44" spans="2:6">
      <c r="B44" s="6" t="s">
        <v>231</v>
      </c>
      <c r="C44" s="6">
        <v>31</v>
      </c>
      <c r="D44" s="6" t="s">
        <v>95</v>
      </c>
      <c r="E44" s="6">
        <v>641</v>
      </c>
      <c r="F44" s="6">
        <v>641310031</v>
      </c>
    </row>
    <row r="45" spans="2:6">
      <c r="B45" s="6" t="s">
        <v>232</v>
      </c>
      <c r="C45" s="6">
        <v>31</v>
      </c>
      <c r="D45" s="6" t="s">
        <v>95</v>
      </c>
      <c r="E45" s="6">
        <v>641</v>
      </c>
      <c r="F45" s="6">
        <v>641320031</v>
      </c>
    </row>
    <row r="46" spans="2:6">
      <c r="B46" s="6" t="s">
        <v>1879</v>
      </c>
      <c r="C46" s="6">
        <v>43</v>
      </c>
      <c r="D46" s="6" t="s">
        <v>100</v>
      </c>
      <c r="E46" s="6">
        <v>641</v>
      </c>
      <c r="F46" s="6">
        <v>641320043</v>
      </c>
    </row>
    <row r="47" spans="2:6">
      <c r="B47" s="6" t="s">
        <v>1880</v>
      </c>
      <c r="C47" s="6">
        <v>31</v>
      </c>
      <c r="D47" s="6" t="s">
        <v>95</v>
      </c>
      <c r="E47" s="6">
        <v>641</v>
      </c>
      <c r="F47" s="6">
        <v>641510031</v>
      </c>
    </row>
    <row r="48" spans="2:6">
      <c r="B48" s="6" t="s">
        <v>1881</v>
      </c>
      <c r="C48" s="6">
        <v>43</v>
      </c>
      <c r="D48" s="6" t="s">
        <v>100</v>
      </c>
      <c r="E48" s="6">
        <v>641</v>
      </c>
      <c r="F48" s="6">
        <v>641510043</v>
      </c>
    </row>
    <row r="49" spans="2:6">
      <c r="B49" s="6" t="s">
        <v>233</v>
      </c>
      <c r="C49" s="6">
        <v>31</v>
      </c>
      <c r="D49" s="6" t="s">
        <v>95</v>
      </c>
      <c r="E49" s="6">
        <v>641</v>
      </c>
      <c r="F49" s="6">
        <v>641630031</v>
      </c>
    </row>
    <row r="50" spans="2:6">
      <c r="B50" s="6" t="s">
        <v>236</v>
      </c>
      <c r="C50" s="6">
        <v>43</v>
      </c>
      <c r="D50" s="6" t="s">
        <v>100</v>
      </c>
      <c r="E50" s="6">
        <v>641</v>
      </c>
      <c r="F50" s="6">
        <v>641720043</v>
      </c>
    </row>
    <row r="51" spans="2:6">
      <c r="B51" s="6" t="s">
        <v>1361</v>
      </c>
      <c r="C51" s="6">
        <v>41</v>
      </c>
      <c r="D51" s="6" t="s">
        <v>1353</v>
      </c>
      <c r="E51" s="6">
        <v>641</v>
      </c>
      <c r="F51" s="6">
        <v>641770041</v>
      </c>
    </row>
    <row r="52" spans="2:6">
      <c r="B52" s="6" t="s">
        <v>1882</v>
      </c>
      <c r="C52" s="6">
        <v>43</v>
      </c>
      <c r="D52" s="6" t="s">
        <v>100</v>
      </c>
      <c r="E52" s="6">
        <v>641</v>
      </c>
      <c r="F52" s="6">
        <v>641990043</v>
      </c>
    </row>
    <row r="53" spans="2:6">
      <c r="B53" s="6" t="s">
        <v>234</v>
      </c>
      <c r="C53" s="6">
        <v>31</v>
      </c>
      <c r="D53" s="6" t="s">
        <v>95</v>
      </c>
      <c r="E53" s="6">
        <v>642</v>
      </c>
      <c r="F53" s="6">
        <v>642510031</v>
      </c>
    </row>
    <row r="54" spans="2:6">
      <c r="B54" s="6" t="s">
        <v>235</v>
      </c>
      <c r="C54" s="6">
        <v>31</v>
      </c>
      <c r="D54" s="6" t="s">
        <v>95</v>
      </c>
      <c r="E54" s="6">
        <v>642</v>
      </c>
      <c r="F54" s="6">
        <v>642990031</v>
      </c>
    </row>
    <row r="55" spans="2:6">
      <c r="B55" s="6" t="s">
        <v>22</v>
      </c>
      <c r="C55" s="6">
        <v>43</v>
      </c>
      <c r="D55" s="6" t="s">
        <v>100</v>
      </c>
      <c r="E55" s="6">
        <v>651</v>
      </c>
      <c r="F55" s="6">
        <v>65148</v>
      </c>
    </row>
    <row r="56" spans="2:6">
      <c r="B56" s="6" t="s">
        <v>1883</v>
      </c>
      <c r="C56" s="6">
        <v>43</v>
      </c>
      <c r="D56" s="6" t="s">
        <v>100</v>
      </c>
      <c r="E56" s="6">
        <v>652</v>
      </c>
      <c r="F56" s="6">
        <v>65218</v>
      </c>
    </row>
    <row r="57" spans="2:6">
      <c r="B57" s="6" t="s">
        <v>237</v>
      </c>
      <c r="C57" s="6">
        <v>43</v>
      </c>
      <c r="D57" s="6" t="s">
        <v>100</v>
      </c>
      <c r="E57" s="6">
        <v>652</v>
      </c>
      <c r="F57" s="6">
        <v>65264</v>
      </c>
    </row>
    <row r="58" spans="2:6">
      <c r="B58" s="6" t="s">
        <v>238</v>
      </c>
      <c r="C58" s="6">
        <v>43</v>
      </c>
      <c r="D58" s="6" t="s">
        <v>100</v>
      </c>
      <c r="E58" s="6">
        <v>652</v>
      </c>
      <c r="F58" s="6">
        <v>652670043</v>
      </c>
    </row>
    <row r="59" spans="2:6">
      <c r="B59" s="6" t="s">
        <v>1997</v>
      </c>
      <c r="C59" s="6">
        <v>71</v>
      </c>
      <c r="D59" s="6" t="s">
        <v>177</v>
      </c>
      <c r="E59" s="6">
        <v>652</v>
      </c>
      <c r="F59" s="6">
        <v>652670071</v>
      </c>
    </row>
    <row r="60" spans="2:6">
      <c r="B60" s="6" t="s">
        <v>1884</v>
      </c>
      <c r="C60" s="6">
        <v>43</v>
      </c>
      <c r="D60" s="6" t="s">
        <v>100</v>
      </c>
      <c r="E60" s="6">
        <v>652</v>
      </c>
      <c r="F60" s="6">
        <v>65268</v>
      </c>
    </row>
    <row r="61" spans="2:6">
      <c r="B61" s="6" t="s">
        <v>1906</v>
      </c>
      <c r="C61" s="6">
        <v>31</v>
      </c>
      <c r="D61" s="6" t="s">
        <v>95</v>
      </c>
      <c r="E61" s="6">
        <v>661</v>
      </c>
      <c r="F61" s="6">
        <v>6614</v>
      </c>
    </row>
    <row r="62" spans="2:6">
      <c r="B62" s="6" t="s">
        <v>21</v>
      </c>
      <c r="C62" s="6">
        <v>31</v>
      </c>
      <c r="D62" s="6" t="s">
        <v>95</v>
      </c>
      <c r="E62" s="6">
        <v>661</v>
      </c>
      <c r="F62" s="6">
        <v>6615</v>
      </c>
    </row>
    <row r="63" spans="2:6">
      <c r="B63" s="6" t="s">
        <v>35</v>
      </c>
      <c r="C63" s="6">
        <v>61</v>
      </c>
      <c r="D63" s="6" t="s">
        <v>1885</v>
      </c>
      <c r="E63" s="6">
        <v>663</v>
      </c>
      <c r="F63" s="6">
        <v>663110000</v>
      </c>
    </row>
    <row r="64" spans="2:6">
      <c r="B64" s="6" t="s">
        <v>36</v>
      </c>
      <c r="C64" s="6">
        <v>61</v>
      </c>
      <c r="D64" s="6" t="s">
        <v>1885</v>
      </c>
      <c r="E64" s="6">
        <v>663</v>
      </c>
      <c r="F64" s="6">
        <v>663120000</v>
      </c>
    </row>
    <row r="65" spans="2:6">
      <c r="B65" s="6" t="s">
        <v>37</v>
      </c>
      <c r="C65" s="6">
        <v>61</v>
      </c>
      <c r="D65" s="6" t="s">
        <v>1885</v>
      </c>
      <c r="E65" s="6">
        <v>663</v>
      </c>
      <c r="F65" s="6">
        <v>663130000</v>
      </c>
    </row>
    <row r="66" spans="2:6">
      <c r="B66" s="6" t="s">
        <v>1886</v>
      </c>
      <c r="C66" s="6">
        <v>61</v>
      </c>
      <c r="D66" s="6" t="s">
        <v>1885</v>
      </c>
      <c r="E66" s="6">
        <v>663</v>
      </c>
      <c r="F66" s="6">
        <v>663140000</v>
      </c>
    </row>
    <row r="67" spans="2:6">
      <c r="B67" s="6" t="s">
        <v>1887</v>
      </c>
      <c r="C67" s="6">
        <v>61</v>
      </c>
      <c r="D67" s="6" t="s">
        <v>1885</v>
      </c>
      <c r="E67" s="6">
        <v>663</v>
      </c>
      <c r="F67" s="6">
        <v>663210000</v>
      </c>
    </row>
    <row r="68" spans="2:6">
      <c r="B68" s="6" t="s">
        <v>38</v>
      </c>
      <c r="C68" s="6">
        <v>61</v>
      </c>
      <c r="D68" s="6" t="s">
        <v>1885</v>
      </c>
      <c r="E68" s="6">
        <v>663</v>
      </c>
      <c r="F68" s="6">
        <v>663220000</v>
      </c>
    </row>
    <row r="69" spans="2:6">
      <c r="B69" s="6" t="s">
        <v>39</v>
      </c>
      <c r="C69" s="6">
        <v>61</v>
      </c>
      <c r="D69" s="6" t="s">
        <v>1885</v>
      </c>
      <c r="E69" s="6">
        <v>663</v>
      </c>
      <c r="F69" s="6">
        <v>663230000</v>
      </c>
    </row>
    <row r="70" spans="2:6">
      <c r="B70" s="6" t="s">
        <v>1888</v>
      </c>
      <c r="C70" s="6">
        <v>61</v>
      </c>
      <c r="D70" s="6" t="s">
        <v>1885</v>
      </c>
      <c r="E70" s="6">
        <v>663</v>
      </c>
      <c r="F70" s="6">
        <v>663240000</v>
      </c>
    </row>
    <row r="71" spans="2:6">
      <c r="B71" s="6" t="s">
        <v>239</v>
      </c>
      <c r="C71" s="6">
        <v>43</v>
      </c>
      <c r="D71" s="6" t="s">
        <v>100</v>
      </c>
      <c r="E71" s="6">
        <v>681</v>
      </c>
      <c r="F71" s="6">
        <v>681910043</v>
      </c>
    </row>
    <row r="72" spans="2:6">
      <c r="B72" s="6" t="s">
        <v>1889</v>
      </c>
      <c r="C72" s="6">
        <v>31</v>
      </c>
      <c r="D72" s="6" t="s">
        <v>95</v>
      </c>
      <c r="E72" s="6">
        <v>683</v>
      </c>
      <c r="F72" s="6">
        <v>683110031</v>
      </c>
    </row>
    <row r="73" spans="2:6">
      <c r="B73" s="6" t="s">
        <v>240</v>
      </c>
      <c r="C73" s="6">
        <v>43</v>
      </c>
      <c r="D73" s="6" t="s">
        <v>100</v>
      </c>
      <c r="E73" s="6">
        <v>683</v>
      </c>
      <c r="F73" s="6">
        <v>683110043</v>
      </c>
    </row>
    <row r="74" spans="2:6">
      <c r="B74" s="6" t="s">
        <v>1890</v>
      </c>
      <c r="C74" s="6">
        <v>71</v>
      </c>
      <c r="D74" s="6" t="s">
        <v>1891</v>
      </c>
      <c r="E74" s="6">
        <v>711</v>
      </c>
      <c r="F74" s="6">
        <v>711110071</v>
      </c>
    </row>
    <row r="75" spans="2:6">
      <c r="B75" s="6" t="s">
        <v>1892</v>
      </c>
      <c r="C75" s="6">
        <v>71</v>
      </c>
      <c r="D75" s="6" t="s">
        <v>1891</v>
      </c>
      <c r="E75" s="6">
        <v>711</v>
      </c>
      <c r="F75" s="6">
        <v>711120071</v>
      </c>
    </row>
    <row r="76" spans="2:6">
      <c r="B76" s="6" t="s">
        <v>242</v>
      </c>
      <c r="C76" s="6">
        <v>71</v>
      </c>
      <c r="D76" s="6" t="s">
        <v>1891</v>
      </c>
      <c r="E76" s="6">
        <v>712</v>
      </c>
      <c r="F76" s="6">
        <v>712410071</v>
      </c>
    </row>
    <row r="77" spans="2:6">
      <c r="B77" s="6" t="s">
        <v>243</v>
      </c>
      <c r="C77" s="6">
        <v>71</v>
      </c>
      <c r="D77" s="6" t="s">
        <v>1891</v>
      </c>
      <c r="E77" s="6">
        <v>712</v>
      </c>
      <c r="F77" s="6">
        <v>712490071</v>
      </c>
    </row>
    <row r="78" spans="2:6">
      <c r="B78" s="6" t="s">
        <v>244</v>
      </c>
      <c r="C78" s="6">
        <v>71</v>
      </c>
      <c r="D78" s="6" t="s">
        <v>1891</v>
      </c>
      <c r="E78" s="6">
        <v>721</v>
      </c>
      <c r="F78" s="6">
        <v>721110071</v>
      </c>
    </row>
    <row r="79" spans="2:6">
      <c r="B79" s="6" t="s">
        <v>245</v>
      </c>
      <c r="C79" s="6">
        <v>71</v>
      </c>
      <c r="D79" s="6" t="s">
        <v>1891</v>
      </c>
      <c r="E79" s="6">
        <v>721</v>
      </c>
      <c r="F79" s="6">
        <v>721190071</v>
      </c>
    </row>
    <row r="80" spans="2:6">
      <c r="B80" s="6" t="s">
        <v>246</v>
      </c>
      <c r="C80" s="6">
        <v>71</v>
      </c>
      <c r="D80" s="6" t="s">
        <v>1891</v>
      </c>
      <c r="E80" s="6">
        <v>721</v>
      </c>
      <c r="F80" s="6">
        <v>721230071</v>
      </c>
    </row>
    <row r="81" spans="2:6">
      <c r="B81" s="6" t="s">
        <v>247</v>
      </c>
      <c r="C81" s="6">
        <v>71</v>
      </c>
      <c r="D81" s="6" t="s">
        <v>1891</v>
      </c>
      <c r="E81" s="6">
        <v>721</v>
      </c>
      <c r="F81" s="6">
        <v>721290071</v>
      </c>
    </row>
    <row r="82" spans="2:6">
      <c r="B82" s="6" t="s">
        <v>248</v>
      </c>
      <c r="C82" s="6">
        <v>71</v>
      </c>
      <c r="D82" s="6" t="s">
        <v>1891</v>
      </c>
      <c r="E82" s="6">
        <v>722</v>
      </c>
      <c r="F82" s="6">
        <v>722110071</v>
      </c>
    </row>
    <row r="83" spans="2:6">
      <c r="B83" s="6" t="s">
        <v>1893</v>
      </c>
      <c r="C83" s="6">
        <v>71</v>
      </c>
      <c r="D83" s="6" t="s">
        <v>1891</v>
      </c>
      <c r="E83" s="6">
        <v>722</v>
      </c>
      <c r="F83" s="6">
        <v>722120071</v>
      </c>
    </row>
    <row r="84" spans="2:6">
      <c r="B84" s="6" t="s">
        <v>249</v>
      </c>
      <c r="C84" s="6">
        <v>71</v>
      </c>
      <c r="D84" s="6" t="s">
        <v>1891</v>
      </c>
      <c r="E84" s="6">
        <v>722</v>
      </c>
      <c r="F84" s="6">
        <v>722190071</v>
      </c>
    </row>
    <row r="85" spans="2:6">
      <c r="B85" s="6" t="s">
        <v>250</v>
      </c>
      <c r="C85" s="6">
        <v>71</v>
      </c>
      <c r="D85" s="6" t="s">
        <v>1891</v>
      </c>
      <c r="E85" s="6">
        <v>722</v>
      </c>
      <c r="F85" s="6">
        <v>722620071</v>
      </c>
    </row>
    <row r="86" spans="2:6">
      <c r="B86" s="6" t="s">
        <v>1998</v>
      </c>
      <c r="C86" s="6">
        <v>71</v>
      </c>
      <c r="D86" s="6" t="s">
        <v>177</v>
      </c>
      <c r="E86" s="6">
        <v>722</v>
      </c>
      <c r="F86" s="6">
        <v>722720071</v>
      </c>
    </row>
    <row r="87" spans="2:6">
      <c r="B87" s="6" t="s">
        <v>251</v>
      </c>
      <c r="C87" s="6">
        <v>71</v>
      </c>
      <c r="D87" s="6" t="s">
        <v>1891</v>
      </c>
      <c r="E87" s="6">
        <v>722</v>
      </c>
      <c r="F87" s="6">
        <v>722730071</v>
      </c>
    </row>
    <row r="88" spans="2:6">
      <c r="B88" s="6" t="s">
        <v>252</v>
      </c>
      <c r="C88" s="6">
        <v>71</v>
      </c>
      <c r="D88" s="6" t="s">
        <v>1891</v>
      </c>
      <c r="E88" s="6">
        <v>723</v>
      </c>
      <c r="F88" s="6">
        <v>723110071</v>
      </c>
    </row>
    <row r="89" spans="2:6">
      <c r="B89" s="6" t="s">
        <v>1894</v>
      </c>
      <c r="C89" s="6">
        <v>71</v>
      </c>
      <c r="D89" s="6" t="s">
        <v>1891</v>
      </c>
      <c r="E89" s="6">
        <v>723</v>
      </c>
      <c r="F89" s="6">
        <v>723130071</v>
      </c>
    </row>
    <row r="90" spans="2:6">
      <c r="B90" s="6" t="s">
        <v>1895</v>
      </c>
      <c r="C90" s="6">
        <v>71</v>
      </c>
      <c r="D90" s="6" t="s">
        <v>1891</v>
      </c>
      <c r="E90" s="6">
        <v>723</v>
      </c>
      <c r="F90" s="6">
        <v>723140071</v>
      </c>
    </row>
    <row r="91" spans="2:6">
      <c r="B91" s="6" t="s">
        <v>1896</v>
      </c>
      <c r="C91" s="6">
        <v>71</v>
      </c>
      <c r="D91" s="6" t="s">
        <v>1891</v>
      </c>
      <c r="E91" s="6">
        <v>723</v>
      </c>
      <c r="F91" s="6">
        <v>723150071</v>
      </c>
    </row>
    <row r="92" spans="2:6">
      <c r="B92" s="6" t="s">
        <v>1897</v>
      </c>
      <c r="C92" s="6">
        <v>71</v>
      </c>
      <c r="D92" s="6" t="s">
        <v>1891</v>
      </c>
      <c r="E92" s="6">
        <v>723</v>
      </c>
      <c r="F92" s="6">
        <v>723160071</v>
      </c>
    </row>
    <row r="93" spans="2:6">
      <c r="B93" s="6" t="s">
        <v>1999</v>
      </c>
      <c r="C93" s="6">
        <v>71</v>
      </c>
      <c r="D93" s="6" t="s">
        <v>177</v>
      </c>
      <c r="E93" s="6">
        <v>723</v>
      </c>
      <c r="F93" s="6">
        <v>723190071</v>
      </c>
    </row>
    <row r="94" spans="2:6">
      <c r="B94" s="6" t="s">
        <v>1898</v>
      </c>
      <c r="C94" s="6">
        <v>71</v>
      </c>
      <c r="D94" s="6" t="s">
        <v>1891</v>
      </c>
      <c r="E94" s="6">
        <v>723</v>
      </c>
      <c r="F94" s="6">
        <v>723310071</v>
      </c>
    </row>
    <row r="95" spans="2:6">
      <c r="B95" s="6" t="s">
        <v>253</v>
      </c>
      <c r="C95" s="6">
        <v>71</v>
      </c>
      <c r="D95" s="6" t="s">
        <v>1891</v>
      </c>
      <c r="E95" s="6">
        <v>725</v>
      </c>
      <c r="F95" s="6">
        <v>725210071</v>
      </c>
    </row>
    <row r="96" spans="2:6">
      <c r="B96" s="6" t="s">
        <v>2000</v>
      </c>
      <c r="C96" s="6">
        <v>43</v>
      </c>
      <c r="D96" s="6" t="s">
        <v>100</v>
      </c>
      <c r="E96" s="6">
        <v>818</v>
      </c>
      <c r="F96" s="6">
        <v>818110043</v>
      </c>
    </row>
    <row r="97" spans="1:6">
      <c r="B97" s="6" t="s">
        <v>1372</v>
      </c>
      <c r="C97" s="6">
        <v>43</v>
      </c>
      <c r="D97" s="6" t="s">
        <v>100</v>
      </c>
      <c r="E97" s="6">
        <v>818</v>
      </c>
      <c r="F97" s="6">
        <v>818120043</v>
      </c>
    </row>
    <row r="98" spans="1:6">
      <c r="B98" s="6" t="s">
        <v>1373</v>
      </c>
      <c r="C98" s="6">
        <v>43</v>
      </c>
      <c r="D98" s="6" t="s">
        <v>100</v>
      </c>
      <c r="E98" s="6">
        <v>832</v>
      </c>
      <c r="F98" s="6">
        <v>832120043</v>
      </c>
    </row>
    <row r="99" spans="1:6">
      <c r="B99" s="6" t="s">
        <v>1900</v>
      </c>
      <c r="C99" s="6">
        <v>43</v>
      </c>
      <c r="D99" s="6" t="s">
        <v>100</v>
      </c>
      <c r="E99" s="6">
        <v>833</v>
      </c>
      <c r="F99" s="6">
        <v>833130043</v>
      </c>
    </row>
    <row r="100" spans="1:6">
      <c r="B100" s="6" t="s">
        <v>1996</v>
      </c>
      <c r="C100" s="6">
        <v>81</v>
      </c>
      <c r="D100" s="6" t="s">
        <v>1899</v>
      </c>
      <c r="E100" s="6">
        <v>841</v>
      </c>
      <c r="F100" s="6">
        <v>841320000</v>
      </c>
    </row>
    <row r="101" spans="1:6">
      <c r="B101" s="6" t="s">
        <v>1901</v>
      </c>
      <c r="C101" s="6">
        <v>81</v>
      </c>
      <c r="D101" s="6" t="s">
        <v>1899</v>
      </c>
      <c r="E101" s="6">
        <v>842</v>
      </c>
      <c r="F101" s="6">
        <v>842220081</v>
      </c>
    </row>
    <row r="102" spans="1:6">
      <c r="A102" s="231"/>
      <c r="B102" s="231"/>
      <c r="C102" s="232"/>
      <c r="D102" s="233"/>
      <c r="E102" s="233"/>
    </row>
    <row r="106" spans="1:6">
      <c r="A106" s="236"/>
      <c r="B106" s="236"/>
      <c r="C106" s="236"/>
      <c r="D106" s="236"/>
      <c r="E106" s="236"/>
      <c r="F106" s="236"/>
    </row>
    <row r="107" spans="1:6">
      <c r="A107" s="236"/>
      <c r="B107" s="236"/>
      <c r="C107" s="236"/>
      <c r="D107" s="236"/>
      <c r="E107" s="236"/>
      <c r="F107" s="236"/>
    </row>
    <row r="108" spans="1:6">
      <c r="A108" s="236"/>
      <c r="B108" s="236"/>
      <c r="C108" s="236"/>
      <c r="D108" s="236"/>
      <c r="E108" s="236"/>
      <c r="F108" s="236"/>
    </row>
    <row r="109" spans="1:6">
      <c r="A109" s="236"/>
      <c r="B109" s="236"/>
      <c r="C109" s="236"/>
      <c r="D109" s="236"/>
      <c r="E109" s="236"/>
      <c r="F109" s="236"/>
    </row>
    <row r="110" spans="1:6">
      <c r="A110" s="236"/>
      <c r="B110" s="236"/>
      <c r="C110" s="236"/>
      <c r="D110" s="236"/>
      <c r="E110" s="236"/>
      <c r="F110" s="236"/>
    </row>
    <row r="111" spans="1:6">
      <c r="A111" s="236"/>
      <c r="B111" s="236"/>
      <c r="C111" s="236"/>
      <c r="D111" s="236"/>
      <c r="E111" s="236"/>
      <c r="F111" s="236"/>
    </row>
    <row r="112" spans="1:6">
      <c r="A112" s="236"/>
      <c r="B112" s="236"/>
      <c r="C112" s="236"/>
      <c r="D112" s="236"/>
      <c r="E112" s="236"/>
      <c r="F112" s="236"/>
    </row>
    <row r="113" spans="1:6">
      <c r="A113" s="236"/>
      <c r="B113" s="236"/>
      <c r="C113" s="236"/>
      <c r="D113" s="236"/>
      <c r="E113" s="236"/>
      <c r="F113" s="236"/>
    </row>
    <row r="114" spans="1:6">
      <c r="A114" s="236"/>
      <c r="B114" s="236"/>
      <c r="C114" s="236"/>
      <c r="D114" s="236"/>
      <c r="E114" s="236"/>
      <c r="F114" s="236"/>
    </row>
    <row r="115" spans="1:6">
      <c r="A115" s="236"/>
      <c r="B115" s="236"/>
      <c r="C115" s="236"/>
      <c r="D115" s="236"/>
      <c r="E115" s="236"/>
      <c r="F115" s="236"/>
    </row>
    <row r="116" spans="1:6">
      <c r="A116" s="236"/>
      <c r="B116" s="236"/>
      <c r="C116" s="236"/>
      <c r="D116" s="236"/>
      <c r="E116" s="236"/>
      <c r="F116" s="236"/>
    </row>
    <row r="117" spans="1:6">
      <c r="A117" s="236"/>
      <c r="B117" s="236"/>
      <c r="C117" s="236"/>
      <c r="D117" s="236"/>
      <c r="E117" s="236"/>
      <c r="F117" s="236"/>
    </row>
    <row r="118" spans="1:6">
      <c r="A118" s="236"/>
      <c r="B118" s="236"/>
      <c r="C118" s="236"/>
      <c r="D118" s="236"/>
      <c r="E118" s="236"/>
      <c r="F118" s="2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521"/>
  <sheetViews>
    <sheetView showGridLines="0" topLeftCell="C1" zoomScale="160" zoomScaleNormal="160" workbookViewId="0">
      <pane ySplit="2" topLeftCell="A3" activePane="bottomLeft" state="frozen"/>
      <selection pane="bottomLeft" activeCell="G15" sqref="G15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16384" width="9.140625" hidden="1"/>
  </cols>
  <sheetData>
    <row r="1" spans="1:21" ht="37.5" customHeight="1">
      <c r="A1" s="274" t="s">
        <v>732</v>
      </c>
      <c r="B1" s="274"/>
      <c r="C1" s="274"/>
      <c r="D1" s="274"/>
      <c r="E1" s="187" t="str">
        <f>IF('Opći dio'!C3="odaberite -","Molimo odaberite proračunskog korisnika na radnom listu Opći podaci!","")</f>
        <v/>
      </c>
    </row>
    <row r="2" spans="1:21" ht="36" customHeight="1">
      <c r="A2" s="67" t="s">
        <v>42</v>
      </c>
      <c r="B2" s="67" t="s">
        <v>43</v>
      </c>
      <c r="C2" s="67" t="s">
        <v>44</v>
      </c>
      <c r="D2" s="67" t="s">
        <v>45</v>
      </c>
      <c r="E2" s="146" t="s">
        <v>758</v>
      </c>
      <c r="F2" s="67" t="s">
        <v>759</v>
      </c>
      <c r="G2" s="189" t="s">
        <v>2001</v>
      </c>
      <c r="H2" s="189" t="s">
        <v>1914</v>
      </c>
      <c r="I2" s="189" t="s">
        <v>1986</v>
      </c>
      <c r="K2" s="142" t="s">
        <v>733</v>
      </c>
      <c r="L2" s="142" t="s">
        <v>734</v>
      </c>
      <c r="Q2" s="61" t="s">
        <v>750</v>
      </c>
    </row>
    <row r="3" spans="1:21">
      <c r="A3" s="137" t="str">
        <f>IF(E3="","",VLOOKUP('Opći dio'!$C$3,'Opći dio'!$L$6:$U$137,10,FALSE))</f>
        <v>08006</v>
      </c>
      <c r="B3" s="137" t="str">
        <f>IF(E3="","",VLOOKUP('Opći dio'!$C$3,'Opći dio'!$L$6:$U$137,9,FALSE))</f>
        <v>Sveučilišta i veleučilišta u Republici Hrvatskoj</v>
      </c>
      <c r="C3" s="184">
        <f>IFERROR(VLOOKUP(E3,$Q$6:$T$105,3,FALSE),"")</f>
        <v>31</v>
      </c>
      <c r="D3" s="136" t="str">
        <f>IFERROR(VLOOKUP(E3,$Q$6:$T$105,4,FALSE),"")</f>
        <v>Vlastiti prihodi</v>
      </c>
      <c r="E3" s="148">
        <v>6614</v>
      </c>
      <c r="F3" s="188" t="str">
        <f>IFERROR(VLOOKUP(E3,$Q$6:$T$105,2,FALSE),"")</f>
        <v>Prihodi od prodanih proizvoda i robe</v>
      </c>
      <c r="G3" s="182">
        <v>19000</v>
      </c>
      <c r="H3" s="182">
        <v>20000</v>
      </c>
      <c r="I3" s="182">
        <v>20000</v>
      </c>
      <c r="K3" s="139" t="str">
        <f>LEFT(E3,3)</f>
        <v>661</v>
      </c>
      <c r="L3" s="139" t="str">
        <f>LEFT(E3,2)</f>
        <v>66</v>
      </c>
      <c r="M3" t="s">
        <v>360</v>
      </c>
      <c r="Q3" s="61" t="s">
        <v>751</v>
      </c>
    </row>
    <row r="4" spans="1:21">
      <c r="A4" s="137" t="str">
        <f>IF(E4="","",VLOOKUP('Opći dio'!$C$3,'Opći dio'!$L$6:$U$137,10,FALSE))</f>
        <v>08006</v>
      </c>
      <c r="B4" s="137" t="str">
        <f>IF(E4="","",VLOOKUP('Opći dio'!$C$3,'Opći dio'!$L$6:$U$137,9,FALSE))</f>
        <v>Sveučilišta i veleučilišta u Republici Hrvatskoj</v>
      </c>
      <c r="C4" s="184">
        <f t="shared" ref="C4:C67" si="0">IFERROR(VLOOKUP(E4,$Q$6:$T$105,3,FALSE),"")</f>
        <v>31</v>
      </c>
      <c r="D4" s="136" t="str">
        <f t="shared" ref="D4:D67" si="1">IFERROR(VLOOKUP(E4,$Q$6:$T$105,4,FALSE),"")</f>
        <v>Vlastiti prihodi</v>
      </c>
      <c r="E4" s="148">
        <v>6615</v>
      </c>
      <c r="F4" s="188" t="str">
        <f t="shared" ref="F4:F67" si="2">IFERROR(VLOOKUP(E4,$Q$6:$T$105,2,FALSE),"")</f>
        <v>Prihodi od pruženih usluga</v>
      </c>
      <c r="G4" s="182">
        <v>665000</v>
      </c>
      <c r="H4" s="182">
        <v>695000</v>
      </c>
      <c r="I4" s="182">
        <v>694000</v>
      </c>
      <c r="K4" s="139" t="str">
        <f t="shared" ref="K4:K67" si="3">LEFT(E4,3)</f>
        <v>661</v>
      </c>
      <c r="L4" s="139" t="str">
        <f t="shared" ref="L4:L67" si="4">LEFT(E4,2)</f>
        <v>66</v>
      </c>
    </row>
    <row r="5" spans="1:21">
      <c r="A5" s="137" t="str">
        <f>IF(E5="","",VLOOKUP('Opći dio'!$C$3,'Opći dio'!$L$6:$U$137,10,FALSE))</f>
        <v>08006</v>
      </c>
      <c r="B5" s="137" t="str">
        <f>IF(E5="","",VLOOKUP('Opći dio'!$C$3,'Opći dio'!$L$6:$U$137,9,FALSE))</f>
        <v>Sveučilišta i veleučilišta u Republici Hrvatskoj</v>
      </c>
      <c r="C5" s="184">
        <f t="shared" si="0"/>
        <v>31</v>
      </c>
      <c r="D5" s="136" t="str">
        <f t="shared" si="1"/>
        <v>Vlastiti prihodi</v>
      </c>
      <c r="E5" s="148">
        <v>641320031</v>
      </c>
      <c r="F5" s="188" t="str">
        <f t="shared" si="2"/>
        <v>Kamate na depozite po viđenju izvor 31</v>
      </c>
      <c r="G5" s="182">
        <v>4000</v>
      </c>
      <c r="H5" s="182">
        <v>4000</v>
      </c>
      <c r="I5" s="182">
        <v>4000</v>
      </c>
      <c r="K5" s="139" t="str">
        <f t="shared" si="3"/>
        <v>641</v>
      </c>
      <c r="L5" s="139" t="str">
        <f t="shared" si="4"/>
        <v>64</v>
      </c>
      <c r="M5" s="139" t="s">
        <v>44</v>
      </c>
      <c r="N5" s="139" t="s">
        <v>45</v>
      </c>
      <c r="Q5" s="68" t="s">
        <v>735</v>
      </c>
      <c r="R5" s="67" t="s">
        <v>752</v>
      </c>
      <c r="S5" s="67" t="s">
        <v>753</v>
      </c>
      <c r="T5" s="67" t="s">
        <v>45</v>
      </c>
      <c r="U5" s="147" t="s">
        <v>754</v>
      </c>
    </row>
    <row r="6" spans="1:21">
      <c r="A6" s="137" t="str">
        <f>IF(E6="","",VLOOKUP('Opći dio'!$C$3,'Opći dio'!$L$6:$U$137,10,FALSE))</f>
        <v>08006</v>
      </c>
      <c r="B6" s="137" t="str">
        <f>IF(E6="","",VLOOKUP('Opći dio'!$C$3,'Opći dio'!$L$6:$U$137,9,FALSE))</f>
        <v>Sveučilišta i veleučilišta u Republici Hrvatskoj</v>
      </c>
      <c r="C6" s="184">
        <f t="shared" si="0"/>
        <v>11</v>
      </c>
      <c r="D6" s="136" t="str">
        <f t="shared" si="1"/>
        <v>Opći prihodi i primici</v>
      </c>
      <c r="E6" s="148" t="s">
        <v>750</v>
      </c>
      <c r="F6" s="188" t="str">
        <f t="shared" si="2"/>
        <v>Prihodi iz nadležnog proračuna za financiranje redovne djelatnosti proračunskih korisnika</v>
      </c>
      <c r="G6" s="182">
        <v>19705590</v>
      </c>
      <c r="H6" s="182">
        <v>19803159</v>
      </c>
      <c r="I6" s="182">
        <v>19803100</v>
      </c>
      <c r="K6" s="139" t="str">
        <f t="shared" si="3"/>
        <v>671</v>
      </c>
      <c r="L6" s="139" t="str">
        <f t="shared" si="4"/>
        <v>67</v>
      </c>
      <c r="M6" s="139">
        <v>11</v>
      </c>
      <c r="N6" s="139" t="s">
        <v>50</v>
      </c>
      <c r="Q6" s="6" t="s">
        <v>750</v>
      </c>
      <c r="R6" s="6" t="s">
        <v>254</v>
      </c>
      <c r="S6" s="6">
        <v>11</v>
      </c>
      <c r="T6" s="6" t="s">
        <v>50</v>
      </c>
      <c r="U6">
        <v>671</v>
      </c>
    </row>
    <row r="7" spans="1:21">
      <c r="A7" s="137" t="str">
        <f>IF(E7="","",VLOOKUP('Opći dio'!$C$3,'Opći dio'!$L$6:$U$137,10,FALSE))</f>
        <v>08006</v>
      </c>
      <c r="B7" s="137" t="str">
        <f>IF(E7="","",VLOOKUP('Opći dio'!$C$3,'Opći dio'!$L$6:$U$137,9,FALSE))</f>
        <v>Sveučilišta i veleučilišta u Republici Hrvatskoj</v>
      </c>
      <c r="C7" s="184">
        <f t="shared" si="0"/>
        <v>61</v>
      </c>
      <c r="D7" s="136" t="str">
        <f t="shared" si="1"/>
        <v xml:space="preserve">Donacije </v>
      </c>
      <c r="E7" s="148">
        <v>663120000</v>
      </c>
      <c r="F7" s="188" t="str">
        <f t="shared" si="2"/>
        <v>Tekuće donacije od neprofitnih organizacija</v>
      </c>
      <c r="G7" s="182">
        <v>129033</v>
      </c>
      <c r="H7" s="182">
        <v>145500</v>
      </c>
      <c r="I7" s="182">
        <v>145500</v>
      </c>
      <c r="K7" s="139" t="str">
        <f t="shared" si="3"/>
        <v>663</v>
      </c>
      <c r="L7" s="139" t="str">
        <f t="shared" si="4"/>
        <v>66</v>
      </c>
      <c r="M7" s="139">
        <v>12</v>
      </c>
      <c r="N7" s="139" t="s">
        <v>257</v>
      </c>
      <c r="Q7" s="6" t="s">
        <v>751</v>
      </c>
      <c r="R7" s="6" t="s">
        <v>254</v>
      </c>
      <c r="S7" s="6">
        <v>12</v>
      </c>
      <c r="T7" s="6" t="s">
        <v>257</v>
      </c>
      <c r="U7">
        <v>671</v>
      </c>
    </row>
    <row r="8" spans="1:21">
      <c r="A8" s="137" t="str">
        <f>IF(E8="","",VLOOKUP('Opći dio'!$C$3,'Opći dio'!$L$6:$U$137,10,FALSE))</f>
        <v>08006</v>
      </c>
      <c r="B8" s="137" t="str">
        <f>IF(E8="","",VLOOKUP('Opći dio'!$C$3,'Opći dio'!$L$6:$U$137,9,FALSE))</f>
        <v>Sveučilišta i veleučilišta u Republici Hrvatskoj</v>
      </c>
      <c r="C8" s="184">
        <f t="shared" si="0"/>
        <v>61</v>
      </c>
      <c r="D8" s="136" t="str">
        <f t="shared" si="1"/>
        <v xml:space="preserve">Donacije </v>
      </c>
      <c r="E8" s="148">
        <v>663140000</v>
      </c>
      <c r="F8" s="188" t="str">
        <f t="shared" si="2"/>
        <v>Tekuće donacije od ostalih subjekata izvan općeg proračuna</v>
      </c>
      <c r="G8" s="182">
        <v>76000</v>
      </c>
      <c r="H8" s="182">
        <v>35000</v>
      </c>
      <c r="I8" s="182">
        <v>0</v>
      </c>
      <c r="K8" s="139" t="str">
        <f t="shared" si="3"/>
        <v>663</v>
      </c>
      <c r="L8" s="139" t="str">
        <f t="shared" si="4"/>
        <v>66</v>
      </c>
      <c r="M8" s="139">
        <v>31</v>
      </c>
      <c r="N8" s="139" t="s">
        <v>95</v>
      </c>
      <c r="Q8" s="6">
        <v>614810041</v>
      </c>
      <c r="R8" s="6" t="s">
        <v>1357</v>
      </c>
      <c r="S8" s="6">
        <v>41</v>
      </c>
      <c r="T8" s="6" t="s">
        <v>1353</v>
      </c>
      <c r="U8">
        <v>614</v>
      </c>
    </row>
    <row r="9" spans="1:21">
      <c r="A9" s="137" t="str">
        <f>IF(E9="","",VLOOKUP('Opći dio'!$C$3,'Opći dio'!$L$6:$U$137,10,FALSE))</f>
        <v>08006</v>
      </c>
      <c r="B9" s="137" t="str">
        <f>IF(E9="","",VLOOKUP('Opći dio'!$C$3,'Opći dio'!$L$6:$U$137,9,FALSE))</f>
        <v>Sveučilišta i veleučilišta u Republici Hrvatskoj</v>
      </c>
      <c r="C9" s="184">
        <f t="shared" si="0"/>
        <v>71</v>
      </c>
      <c r="D9" s="136" t="str">
        <f t="shared" si="1"/>
        <v>Prihodi od prodaje ili zamjene nefinancijske imovine i naknade s naslova osiguranja</v>
      </c>
      <c r="E9" s="148">
        <v>721110071</v>
      </c>
      <c r="F9" s="188" t="str">
        <f t="shared" si="2"/>
        <v>Stambeni objekti za zaposlene izvor 71</v>
      </c>
      <c r="G9" s="182">
        <v>2000</v>
      </c>
      <c r="H9" s="182">
        <v>2000</v>
      </c>
      <c r="I9" s="182">
        <v>2000</v>
      </c>
      <c r="K9" s="139" t="str">
        <f t="shared" si="3"/>
        <v>721</v>
      </c>
      <c r="L9" s="139" t="str">
        <f t="shared" si="4"/>
        <v>72</v>
      </c>
      <c r="M9">
        <v>41</v>
      </c>
      <c r="N9" t="s">
        <v>1353</v>
      </c>
      <c r="Q9" s="6">
        <v>614820041</v>
      </c>
      <c r="R9" s="6" t="s">
        <v>1358</v>
      </c>
      <c r="S9" s="6">
        <v>41</v>
      </c>
      <c r="T9" s="6" t="s">
        <v>1353</v>
      </c>
      <c r="U9">
        <v>614</v>
      </c>
    </row>
    <row r="10" spans="1:21">
      <c r="A10" s="137" t="str">
        <f>IF(E10="","",VLOOKUP('Opći dio'!$C$3,'Opći dio'!$L$6:$U$137,10,FALSE))</f>
        <v>08006</v>
      </c>
      <c r="B10" s="137" t="str">
        <f>IF(E10="","",VLOOKUP('Opći dio'!$C$3,'Opći dio'!$L$6:$U$137,9,FALSE))</f>
        <v>Sveučilišta i veleučilišta u Republici Hrvatskoj</v>
      </c>
      <c r="C10" s="184">
        <f t="shared" si="0"/>
        <v>52</v>
      </c>
      <c r="D10" s="136" t="str">
        <f t="shared" si="1"/>
        <v xml:space="preserve">Ostale pomoći i darovnice </v>
      </c>
      <c r="E10" s="148">
        <v>6394</v>
      </c>
      <c r="F10" s="188" t="str">
        <f t="shared" si="2"/>
        <v>Kapitalni prijenosi između proračunskih korisnika istog proračuna temeljem prijenosa EU sredstava</v>
      </c>
      <c r="G10" s="182">
        <v>30000</v>
      </c>
      <c r="H10" s="182">
        <v>0</v>
      </c>
      <c r="I10" s="182">
        <v>0</v>
      </c>
      <c r="K10" s="139" t="str">
        <f t="shared" si="3"/>
        <v>639</v>
      </c>
      <c r="L10" s="139" t="str">
        <f t="shared" si="4"/>
        <v>63</v>
      </c>
      <c r="M10" s="139">
        <v>43</v>
      </c>
      <c r="N10" s="139" t="s">
        <v>100</v>
      </c>
      <c r="Q10" s="6">
        <v>614830041</v>
      </c>
      <c r="R10" s="6" t="s">
        <v>1359</v>
      </c>
      <c r="S10" s="6">
        <v>41</v>
      </c>
      <c r="T10" s="6" t="s">
        <v>1353</v>
      </c>
      <c r="U10">
        <v>614</v>
      </c>
    </row>
    <row r="11" spans="1:21">
      <c r="A11" s="137" t="str">
        <f>IF(E11="","",VLOOKUP('Opći dio'!$C$3,'Opći dio'!$L$6:$U$137,10,FALSE))</f>
        <v>08006</v>
      </c>
      <c r="B11" s="137" t="str">
        <f>IF(E11="","",VLOOKUP('Opći dio'!$C$3,'Opći dio'!$L$6:$U$137,9,FALSE))</f>
        <v>Sveučilišta i veleučilišta u Republici Hrvatskoj</v>
      </c>
      <c r="C11" s="184">
        <f t="shared" si="0"/>
        <v>43</v>
      </c>
      <c r="D11" s="136" t="str">
        <f t="shared" si="1"/>
        <v>Ostali prihodi za posebne namjene</v>
      </c>
      <c r="E11" s="148">
        <v>65264</v>
      </c>
      <c r="F11" s="188" t="str">
        <f t="shared" si="2"/>
        <v>Sufinanciranje cijene usluge, participacije i slično</v>
      </c>
      <c r="G11" s="182">
        <v>12035000</v>
      </c>
      <c r="H11" s="182">
        <v>13843500</v>
      </c>
      <c r="I11" s="182">
        <v>14595500</v>
      </c>
      <c r="K11" s="139" t="str">
        <f t="shared" si="3"/>
        <v>652</v>
      </c>
      <c r="L11" s="139" t="str">
        <f t="shared" si="4"/>
        <v>65</v>
      </c>
      <c r="M11" s="139">
        <v>51</v>
      </c>
      <c r="N11" s="139" t="s">
        <v>90</v>
      </c>
      <c r="Q11" s="6">
        <v>614840041</v>
      </c>
      <c r="R11" s="6" t="s">
        <v>1360</v>
      </c>
      <c r="S11" s="6">
        <v>41</v>
      </c>
      <c r="T11" s="6" t="s">
        <v>1353</v>
      </c>
      <c r="U11">
        <v>614</v>
      </c>
    </row>
    <row r="12" spans="1:21">
      <c r="A12" s="137" t="str">
        <f>IF(E12="","",VLOOKUP('Opći dio'!$C$3,'Opći dio'!$L$6:$U$137,10,FALSE))</f>
        <v>08006</v>
      </c>
      <c r="B12" s="137" t="str">
        <f>IF(E12="","",VLOOKUP('Opći dio'!$C$3,'Opći dio'!$L$6:$U$137,9,FALSE))</f>
        <v>Sveučilišta i veleučilišta u Republici Hrvatskoj</v>
      </c>
      <c r="C12" s="184">
        <f t="shared" si="0"/>
        <v>51</v>
      </c>
      <c r="D12" s="136" t="str">
        <f t="shared" si="1"/>
        <v xml:space="preserve">Pomoći EU </v>
      </c>
      <c r="E12" s="148">
        <v>632311700</v>
      </c>
      <c r="F12" s="188" t="str">
        <f t="shared" si="2"/>
        <v>Tekuće pomoći od institucija i tijela EU - ostalo</v>
      </c>
      <c r="G12" s="182">
        <v>0</v>
      </c>
      <c r="H12" s="182">
        <v>65000</v>
      </c>
      <c r="I12" s="182">
        <v>0</v>
      </c>
      <c r="K12" s="139" t="str">
        <f t="shared" si="3"/>
        <v>632</v>
      </c>
      <c r="L12" s="139" t="str">
        <f t="shared" si="4"/>
        <v>63</v>
      </c>
      <c r="M12" s="139">
        <v>52</v>
      </c>
      <c r="N12" s="139" t="s">
        <v>113</v>
      </c>
      <c r="Q12" s="6">
        <v>631110000</v>
      </c>
      <c r="R12" s="6" t="s">
        <v>25</v>
      </c>
      <c r="S12" s="6">
        <v>52</v>
      </c>
      <c r="T12" s="6" t="s">
        <v>1873</v>
      </c>
      <c r="U12">
        <v>631</v>
      </c>
    </row>
    <row r="13" spans="1:21">
      <c r="A13" s="137" t="str">
        <f>IF(E13="","",VLOOKUP('Opći dio'!$C$3,'Opći dio'!$L$6:$U$137,10,FALSE))</f>
        <v>08006</v>
      </c>
      <c r="B13" s="137" t="str">
        <f>IF(E13="","",VLOOKUP('Opći dio'!$C$3,'Opći dio'!$L$6:$U$137,9,FALSE))</f>
        <v>Sveučilišta i veleučilišta u Republici Hrvatskoj</v>
      </c>
      <c r="C13" s="184">
        <f t="shared" si="0"/>
        <v>52</v>
      </c>
      <c r="D13" s="136" t="str">
        <f t="shared" si="1"/>
        <v xml:space="preserve">Ostale pomoći i darovnice </v>
      </c>
      <c r="E13" s="148">
        <v>6393</v>
      </c>
      <c r="F13" s="188" t="str">
        <f t="shared" si="2"/>
        <v>Tekući prijenosi između proračunskih korisnika istog proračuna temeljem prijenosa EU sredstava</v>
      </c>
      <c r="G13" s="182">
        <v>0</v>
      </c>
      <c r="H13" s="182"/>
      <c r="I13" s="182"/>
      <c r="K13" s="139" t="str">
        <f t="shared" si="3"/>
        <v>639</v>
      </c>
      <c r="L13" s="139" t="str">
        <f t="shared" si="4"/>
        <v>63</v>
      </c>
      <c r="M13">
        <v>552</v>
      </c>
      <c r="N13" t="s">
        <v>1354</v>
      </c>
      <c r="Q13" s="6">
        <v>631120000</v>
      </c>
      <c r="R13" s="6" t="s">
        <v>26</v>
      </c>
      <c r="S13" s="6">
        <v>52</v>
      </c>
      <c r="T13" s="6" t="s">
        <v>1873</v>
      </c>
      <c r="U13">
        <v>631</v>
      </c>
    </row>
    <row r="14" spans="1:21">
      <c r="A14" s="137" t="str">
        <f>IF(E14="","",VLOOKUP('Opći dio'!$C$3,'Opći dio'!$L$6:$U$137,10,FALSE))</f>
        <v>08006</v>
      </c>
      <c r="B14" s="137" t="str">
        <f>IF(E14="","",VLOOKUP('Opći dio'!$C$3,'Opći dio'!$L$6:$U$137,9,FALSE))</f>
        <v>Sveučilišta i veleučilišta u Republici Hrvatskoj</v>
      </c>
      <c r="C14" s="184">
        <f t="shared" si="0"/>
        <v>52</v>
      </c>
      <c r="D14" s="136" t="str">
        <f t="shared" si="1"/>
        <v xml:space="preserve">Ostale pomoći i darovnice </v>
      </c>
      <c r="E14" s="148">
        <v>6391</v>
      </c>
      <c r="F14" s="188" t="str">
        <f t="shared" si="2"/>
        <v>Tekući prijenosi između proračunskih korisnika istog proračuna</v>
      </c>
      <c r="G14" s="182">
        <v>95000</v>
      </c>
      <c r="H14" s="182">
        <v>0</v>
      </c>
      <c r="I14" s="182">
        <v>0</v>
      </c>
      <c r="K14" s="139" t="str">
        <f t="shared" si="3"/>
        <v>639</v>
      </c>
      <c r="L14" s="139" t="str">
        <f t="shared" si="4"/>
        <v>63</v>
      </c>
      <c r="M14">
        <v>559</v>
      </c>
      <c r="N14" t="s">
        <v>1355</v>
      </c>
      <c r="Q14" s="6">
        <v>631210000</v>
      </c>
      <c r="R14" s="6" t="s">
        <v>27</v>
      </c>
      <c r="S14" s="6">
        <v>52</v>
      </c>
      <c r="T14" s="6" t="s">
        <v>1873</v>
      </c>
      <c r="U14">
        <v>631</v>
      </c>
    </row>
    <row r="15" spans="1:21">
      <c r="A15" s="137" t="str">
        <f>IF(E15="","",VLOOKUP('Opći dio'!$C$3,'Opći dio'!$L$6:$U$137,10,FALSE))</f>
        <v>08006</v>
      </c>
      <c r="B15" s="137" t="str">
        <f>IF(E15="","",VLOOKUP('Opći dio'!$C$3,'Opći dio'!$L$6:$U$137,9,FALSE))</f>
        <v>Sveučilišta i veleučilišta u Republici Hrvatskoj</v>
      </c>
      <c r="C15" s="184">
        <f t="shared" si="0"/>
        <v>52</v>
      </c>
      <c r="D15" s="136" t="str">
        <f t="shared" si="1"/>
        <v xml:space="preserve">Ostale pomoći i darovnice </v>
      </c>
      <c r="E15" s="148">
        <v>6393</v>
      </c>
      <c r="F15" s="188" t="str">
        <f t="shared" si="2"/>
        <v>Tekući prijenosi između proračunskih korisnika istog proračuna temeljem prijenosa EU sredstava</v>
      </c>
      <c r="G15" s="182"/>
      <c r="H15" s="182">
        <v>578476</v>
      </c>
      <c r="I15" s="182">
        <v>145500</v>
      </c>
      <c r="K15" s="139" t="str">
        <f t="shared" si="3"/>
        <v>639</v>
      </c>
      <c r="L15" s="139" t="str">
        <f t="shared" si="4"/>
        <v>63</v>
      </c>
      <c r="M15" s="139">
        <v>561</v>
      </c>
      <c r="N15" s="139" t="s">
        <v>115</v>
      </c>
      <c r="Q15" s="6">
        <v>631220000</v>
      </c>
      <c r="R15" s="6" t="s">
        <v>28</v>
      </c>
      <c r="S15" s="6">
        <v>52</v>
      </c>
      <c r="T15" s="6" t="s">
        <v>1873</v>
      </c>
      <c r="U15">
        <v>631</v>
      </c>
    </row>
    <row r="16" spans="1:21">
      <c r="A16" s="137" t="str">
        <f>IF(E16="","",VLOOKUP('Opći dio'!$C$3,'Opći dio'!$L$6:$U$137,10,FALSE))</f>
        <v/>
      </c>
      <c r="B16" s="137" t="str">
        <f>IF(E16="","",VLOOKUP('Opći dio'!$C$3,'Opći dio'!$L$6:$U$137,9,FALSE))</f>
        <v/>
      </c>
      <c r="C16" s="184" t="str">
        <f t="shared" si="0"/>
        <v/>
      </c>
      <c r="D16" s="136" t="str">
        <f t="shared" si="1"/>
        <v/>
      </c>
      <c r="E16" s="148"/>
      <c r="F16" s="188" t="str">
        <f t="shared" si="2"/>
        <v/>
      </c>
      <c r="G16" s="182"/>
      <c r="H16" s="182"/>
      <c r="I16" s="182"/>
      <c r="K16" s="139" t="str">
        <f t="shared" si="3"/>
        <v/>
      </c>
      <c r="L16" s="139" t="str">
        <f t="shared" si="4"/>
        <v/>
      </c>
      <c r="M16" s="139">
        <v>563</v>
      </c>
      <c r="N16" s="139" t="s">
        <v>117</v>
      </c>
      <c r="Q16" s="6">
        <v>632112000</v>
      </c>
      <c r="R16" s="6" t="s">
        <v>1874</v>
      </c>
      <c r="S16" s="6">
        <v>52</v>
      </c>
      <c r="T16" s="6" t="s">
        <v>1873</v>
      </c>
      <c r="U16">
        <v>632</v>
      </c>
    </row>
    <row r="17" spans="1:21">
      <c r="A17" s="137" t="str">
        <f>IF(E17="","",VLOOKUP('Opći dio'!$C$3,'Opći dio'!$L$6:$U$137,10,FALSE))</f>
        <v/>
      </c>
      <c r="B17" s="137" t="str">
        <f>IF(E17="","",VLOOKUP('Opći dio'!$C$3,'Opći dio'!$L$6:$U$137,9,FALSE))</f>
        <v/>
      </c>
      <c r="C17" s="184" t="str">
        <f t="shared" si="0"/>
        <v/>
      </c>
      <c r="D17" s="136" t="str">
        <f t="shared" si="1"/>
        <v/>
      </c>
      <c r="E17" s="148"/>
      <c r="F17" s="188" t="str">
        <f t="shared" si="2"/>
        <v/>
      </c>
      <c r="G17" s="182"/>
      <c r="H17" s="182"/>
      <c r="I17" s="182"/>
      <c r="K17" s="139" t="str">
        <f t="shared" si="3"/>
        <v/>
      </c>
      <c r="L17" s="139" t="str">
        <f t="shared" si="4"/>
        <v/>
      </c>
      <c r="M17" s="139">
        <v>573</v>
      </c>
      <c r="N17" t="s">
        <v>1365</v>
      </c>
      <c r="Q17" s="6">
        <v>632212000</v>
      </c>
      <c r="R17" s="6" t="s">
        <v>1875</v>
      </c>
      <c r="S17" s="6">
        <v>52</v>
      </c>
      <c r="T17" s="6" t="s">
        <v>1873</v>
      </c>
      <c r="U17">
        <v>632</v>
      </c>
    </row>
    <row r="18" spans="1:21">
      <c r="A18" s="137" t="str">
        <f>IF(E18="","",VLOOKUP('Opći dio'!$C$3,'Opći dio'!$L$6:$U$137,10,FALSE))</f>
        <v/>
      </c>
      <c r="B18" s="137" t="str">
        <f>IF(E18="","",VLOOKUP('Opći dio'!$C$3,'Opći dio'!$L$6:$U$137,9,FALSE))</f>
        <v/>
      </c>
      <c r="C18" s="184" t="str">
        <f t="shared" si="0"/>
        <v/>
      </c>
      <c r="D18" s="136" t="str">
        <f t="shared" si="1"/>
        <v/>
      </c>
      <c r="E18" s="148"/>
      <c r="F18" s="188" t="str">
        <f t="shared" si="2"/>
        <v/>
      </c>
      <c r="G18" s="182"/>
      <c r="H18" s="182"/>
      <c r="I18" s="182"/>
      <c r="K18" s="139" t="str">
        <f t="shared" si="3"/>
        <v/>
      </c>
      <c r="L18" s="139" t="str">
        <f t="shared" si="4"/>
        <v/>
      </c>
      <c r="M18">
        <v>575</v>
      </c>
      <c r="N18" t="s">
        <v>1367</v>
      </c>
      <c r="Q18" s="6">
        <v>632310552</v>
      </c>
      <c r="R18" s="6" t="s">
        <v>1362</v>
      </c>
      <c r="S18" s="6">
        <v>552</v>
      </c>
      <c r="T18" s="6" t="s">
        <v>1354</v>
      </c>
      <c r="U18">
        <v>632</v>
      </c>
    </row>
    <row r="19" spans="1:21">
      <c r="A19" s="137" t="str">
        <f>IF(E19="","",VLOOKUP('Opći dio'!$C$3,'Opći dio'!$L$6:$U$137,10,FALSE))</f>
        <v/>
      </c>
      <c r="B19" s="137" t="str">
        <f>IF(E19="","",VLOOKUP('Opći dio'!$C$3,'Opći dio'!$L$6:$U$137,9,FALSE))</f>
        <v/>
      </c>
      <c r="C19" s="184" t="str">
        <f t="shared" si="0"/>
        <v/>
      </c>
      <c r="D19" s="136" t="str">
        <f t="shared" si="1"/>
        <v/>
      </c>
      <c r="E19" s="148"/>
      <c r="F19" s="188" t="str">
        <f t="shared" si="2"/>
        <v/>
      </c>
      <c r="G19" s="182"/>
      <c r="H19" s="182"/>
      <c r="I19" s="182"/>
      <c r="K19" s="139" t="str">
        <f t="shared" si="3"/>
        <v/>
      </c>
      <c r="L19" s="139" t="str">
        <f t="shared" si="4"/>
        <v/>
      </c>
      <c r="M19" s="203">
        <v>576</v>
      </c>
      <c r="N19" s="239" t="s">
        <v>1904</v>
      </c>
      <c r="Q19" s="6">
        <v>632310559</v>
      </c>
      <c r="R19" s="6" t="s">
        <v>1363</v>
      </c>
      <c r="S19" s="6">
        <v>559</v>
      </c>
      <c r="T19" s="6" t="s">
        <v>1355</v>
      </c>
      <c r="U19">
        <v>632</v>
      </c>
    </row>
    <row r="20" spans="1:21">
      <c r="A20" s="137" t="str">
        <f>IF(E20="","",VLOOKUP('Opći dio'!$C$3,'Opći dio'!$L$6:$U$137,10,FALSE))</f>
        <v/>
      </c>
      <c r="B20" s="137" t="str">
        <f>IF(E20="","",VLOOKUP('Opći dio'!$C$3,'Opći dio'!$L$6:$U$137,9,FALSE))</f>
        <v/>
      </c>
      <c r="C20" s="184" t="str">
        <f t="shared" si="0"/>
        <v/>
      </c>
      <c r="D20" s="136" t="str">
        <f t="shared" si="1"/>
        <v/>
      </c>
      <c r="E20" s="148"/>
      <c r="F20" s="188" t="str">
        <f t="shared" si="2"/>
        <v/>
      </c>
      <c r="G20" s="182"/>
      <c r="H20" s="182"/>
      <c r="I20" s="182"/>
      <c r="K20" s="139" t="str">
        <f t="shared" si="3"/>
        <v/>
      </c>
      <c r="L20" s="139" t="str">
        <f t="shared" si="4"/>
        <v/>
      </c>
      <c r="M20" s="210">
        <v>581</v>
      </c>
      <c r="N20" s="211" t="s">
        <v>1988</v>
      </c>
      <c r="Q20" s="6">
        <v>632310561</v>
      </c>
      <c r="R20" s="6" t="s">
        <v>115</v>
      </c>
      <c r="S20" s="6">
        <v>561</v>
      </c>
      <c r="T20" s="6" t="s">
        <v>115</v>
      </c>
      <c r="U20">
        <v>632</v>
      </c>
    </row>
    <row r="21" spans="1:21">
      <c r="A21" s="137" t="str">
        <f>IF(E21="","",VLOOKUP('Opći dio'!$C$3,'Opći dio'!$L$6:$U$137,10,FALSE))</f>
        <v/>
      </c>
      <c r="B21" s="137" t="str">
        <f>IF(E21="","",VLOOKUP('Opći dio'!$C$3,'Opći dio'!$L$6:$U$137,9,FALSE))</f>
        <v/>
      </c>
      <c r="C21" s="184" t="str">
        <f t="shared" si="0"/>
        <v/>
      </c>
      <c r="D21" s="136" t="str">
        <f t="shared" si="1"/>
        <v/>
      </c>
      <c r="E21" s="148"/>
      <c r="F21" s="188" t="str">
        <f t="shared" si="2"/>
        <v/>
      </c>
      <c r="G21" s="182"/>
      <c r="H21" s="182"/>
      <c r="I21" s="182"/>
      <c r="K21" s="139" t="str">
        <f t="shared" si="3"/>
        <v/>
      </c>
      <c r="L21" s="139" t="str">
        <f t="shared" si="4"/>
        <v/>
      </c>
      <c r="M21" s="139">
        <v>61</v>
      </c>
      <c r="N21" s="139" t="s">
        <v>119</v>
      </c>
      <c r="Q21" s="6">
        <v>632310563</v>
      </c>
      <c r="R21" s="6" t="s">
        <v>1954</v>
      </c>
      <c r="S21" s="6">
        <v>563</v>
      </c>
      <c r="T21" s="6" t="s">
        <v>117</v>
      </c>
      <c r="U21">
        <v>632</v>
      </c>
    </row>
    <row r="22" spans="1:21">
      <c r="A22" s="137" t="str">
        <f>IF(E22="","",VLOOKUP('Opći dio'!$C$3,'Opći dio'!$L$6:$U$137,10,FALSE))</f>
        <v/>
      </c>
      <c r="B22" s="137" t="str">
        <f>IF(E22="","",VLOOKUP('Opći dio'!$C$3,'Opći dio'!$L$6:$U$137,9,FALSE))</f>
        <v/>
      </c>
      <c r="C22" s="184" t="str">
        <f t="shared" si="0"/>
        <v/>
      </c>
      <c r="D22" s="136" t="str">
        <f t="shared" si="1"/>
        <v/>
      </c>
      <c r="E22" s="148"/>
      <c r="F22" s="188" t="str">
        <f t="shared" si="2"/>
        <v/>
      </c>
      <c r="G22" s="182"/>
      <c r="H22" s="182"/>
      <c r="I22" s="182"/>
      <c r="K22" s="139" t="str">
        <f t="shared" si="3"/>
        <v/>
      </c>
      <c r="L22" s="139" t="str">
        <f t="shared" si="4"/>
        <v/>
      </c>
      <c r="M22" s="139">
        <v>71</v>
      </c>
      <c r="N22" s="139" t="s">
        <v>177</v>
      </c>
      <c r="Q22" s="6">
        <v>632310573</v>
      </c>
      <c r="R22" s="6" t="s">
        <v>1364</v>
      </c>
      <c r="S22" s="6">
        <v>573</v>
      </c>
      <c r="T22" s="6" t="s">
        <v>1365</v>
      </c>
      <c r="U22">
        <v>632</v>
      </c>
    </row>
    <row r="23" spans="1:21">
      <c r="A23" s="137" t="str">
        <f>IF(E23="","",VLOOKUP('Opći dio'!$C$3,'Opći dio'!$L$6:$U$137,10,FALSE))</f>
        <v/>
      </c>
      <c r="B23" s="137" t="str">
        <f>IF(E23="","",VLOOKUP('Opći dio'!$C$3,'Opći dio'!$L$6:$U$137,9,FALSE))</f>
        <v/>
      </c>
      <c r="C23" s="184" t="str">
        <f t="shared" si="0"/>
        <v/>
      </c>
      <c r="D23" s="136" t="str">
        <f t="shared" si="1"/>
        <v/>
      </c>
      <c r="E23" s="148"/>
      <c r="F23" s="188" t="str">
        <f t="shared" si="2"/>
        <v/>
      </c>
      <c r="G23" s="182"/>
      <c r="H23" s="182"/>
      <c r="I23" s="182"/>
      <c r="K23" s="139" t="str">
        <f t="shared" si="3"/>
        <v/>
      </c>
      <c r="L23" s="139" t="str">
        <f t="shared" si="4"/>
        <v/>
      </c>
      <c r="M23" s="139">
        <v>81</v>
      </c>
      <c r="N23" s="139" t="s">
        <v>60</v>
      </c>
      <c r="Q23" s="6">
        <v>632310575</v>
      </c>
      <c r="R23" s="6" t="s">
        <v>1366</v>
      </c>
      <c r="S23" s="6">
        <v>575</v>
      </c>
      <c r="T23" s="6" t="s">
        <v>1367</v>
      </c>
      <c r="U23">
        <v>632</v>
      </c>
    </row>
    <row r="24" spans="1:21">
      <c r="A24" s="137" t="str">
        <f>IF(E24="","",VLOOKUP('Opći dio'!$C$3,'Opći dio'!$L$6:$U$137,10,FALSE))</f>
        <v/>
      </c>
      <c r="B24" s="137" t="str">
        <f>IF(E24="","",VLOOKUP('Opći dio'!$C$3,'Opći dio'!$L$6:$U$137,9,FALSE))</f>
        <v/>
      </c>
      <c r="C24" s="184" t="str">
        <f t="shared" si="0"/>
        <v/>
      </c>
      <c r="D24" s="136" t="str">
        <f t="shared" si="1"/>
        <v/>
      </c>
      <c r="E24" s="148"/>
      <c r="F24" s="188" t="str">
        <f t="shared" si="2"/>
        <v/>
      </c>
      <c r="G24" s="182"/>
      <c r="H24" s="182"/>
      <c r="I24" s="182"/>
      <c r="K24" s="139" t="str">
        <f t="shared" si="3"/>
        <v/>
      </c>
      <c r="L24" s="139" t="str">
        <f t="shared" si="4"/>
        <v/>
      </c>
      <c r="M24" s="242">
        <v>83</v>
      </c>
      <c r="N24" s="242" t="s">
        <v>1356</v>
      </c>
      <c r="Q24" s="6">
        <v>632315761</v>
      </c>
      <c r="R24" s="6" t="s">
        <v>1990</v>
      </c>
      <c r="S24" s="6">
        <v>576</v>
      </c>
      <c r="T24" s="6" t="s">
        <v>1905</v>
      </c>
      <c r="U24">
        <v>632</v>
      </c>
    </row>
    <row r="25" spans="1:21">
      <c r="A25" s="137" t="str">
        <f>IF(E25="","",VLOOKUP('Opći dio'!$C$3,'Opći dio'!$L$6:$U$137,10,FALSE))</f>
        <v/>
      </c>
      <c r="B25" s="137" t="str">
        <f>IF(E25="","",VLOOKUP('Opći dio'!$C$3,'Opći dio'!$L$6:$U$137,9,FALSE))</f>
        <v/>
      </c>
      <c r="C25" s="184" t="str">
        <f t="shared" si="0"/>
        <v/>
      </c>
      <c r="D25" s="136" t="str">
        <f t="shared" si="1"/>
        <v/>
      </c>
      <c r="E25" s="148"/>
      <c r="F25" s="188" t="str">
        <f t="shared" si="2"/>
        <v/>
      </c>
      <c r="G25" s="182"/>
      <c r="H25" s="182"/>
      <c r="I25" s="182"/>
      <c r="K25" s="139" t="str">
        <f t="shared" si="3"/>
        <v/>
      </c>
      <c r="L25" s="139" t="str">
        <f t="shared" si="4"/>
        <v/>
      </c>
      <c r="Q25" s="6">
        <v>632310581</v>
      </c>
      <c r="R25" s="6" t="s">
        <v>1992</v>
      </c>
      <c r="S25" s="6">
        <v>581</v>
      </c>
      <c r="T25" s="6" t="s">
        <v>1988</v>
      </c>
      <c r="U25">
        <v>632</v>
      </c>
    </row>
    <row r="26" spans="1:21">
      <c r="A26" s="137" t="str">
        <f>IF(E26="","",VLOOKUP('Opći dio'!$C$3,'Opći dio'!$L$6:$U$137,10,FALSE))</f>
        <v/>
      </c>
      <c r="B26" s="137" t="str">
        <f>IF(E26="","",VLOOKUP('Opći dio'!$C$3,'Opći dio'!$L$6:$U$137,9,FALSE))</f>
        <v/>
      </c>
      <c r="C26" s="184" t="str">
        <f t="shared" si="0"/>
        <v/>
      </c>
      <c r="D26" s="136" t="str">
        <f t="shared" si="1"/>
        <v/>
      </c>
      <c r="E26" s="148"/>
      <c r="F26" s="188" t="str">
        <f t="shared" si="2"/>
        <v/>
      </c>
      <c r="G26" s="182"/>
      <c r="H26" s="182"/>
      <c r="I26" s="182"/>
      <c r="K26" s="139" t="str">
        <f t="shared" si="3"/>
        <v/>
      </c>
      <c r="L26" s="139" t="str">
        <f t="shared" si="4"/>
        <v/>
      </c>
      <c r="Q26" s="6">
        <v>632311700</v>
      </c>
      <c r="R26" s="6" t="s">
        <v>23</v>
      </c>
      <c r="S26" s="6">
        <v>51</v>
      </c>
      <c r="T26" s="6" t="s">
        <v>1876</v>
      </c>
      <c r="U26">
        <v>632</v>
      </c>
    </row>
    <row r="27" spans="1:21">
      <c r="A27" s="137" t="str">
        <f>IF(E27="","",VLOOKUP('Opći dio'!$C$3,'Opći dio'!$L$6:$U$137,10,FALSE))</f>
        <v/>
      </c>
      <c r="B27" s="137" t="str">
        <f>IF(E27="","",VLOOKUP('Opći dio'!$C$3,'Opći dio'!$L$6:$U$137,9,FALSE))</f>
        <v/>
      </c>
      <c r="C27" s="184" t="str">
        <f t="shared" si="0"/>
        <v/>
      </c>
      <c r="D27" s="136" t="str">
        <f t="shared" si="1"/>
        <v/>
      </c>
      <c r="E27" s="148"/>
      <c r="F27" s="188" t="str">
        <f t="shared" si="2"/>
        <v/>
      </c>
      <c r="G27" s="182"/>
      <c r="H27" s="182"/>
      <c r="I27" s="182"/>
      <c r="K27" s="139" t="str">
        <f t="shared" si="3"/>
        <v/>
      </c>
      <c r="L27" s="139" t="str">
        <f t="shared" si="4"/>
        <v/>
      </c>
      <c r="Q27" s="6">
        <v>632311800</v>
      </c>
      <c r="R27" s="6" t="s">
        <v>241</v>
      </c>
      <c r="S27" s="6">
        <v>51</v>
      </c>
      <c r="T27" s="6" t="s">
        <v>1876</v>
      </c>
      <c r="U27">
        <v>632</v>
      </c>
    </row>
    <row r="28" spans="1:21">
      <c r="A28" s="137" t="str">
        <f>IF(E28="","",VLOOKUP('Opći dio'!$C$3,'Opći dio'!$L$6:$U$137,10,FALSE))</f>
        <v/>
      </c>
      <c r="B28" s="137" t="str">
        <f>IF(E28="","",VLOOKUP('Opći dio'!$C$3,'Opći dio'!$L$6:$U$137,9,FALSE))</f>
        <v/>
      </c>
      <c r="C28" s="184" t="str">
        <f t="shared" si="0"/>
        <v/>
      </c>
      <c r="D28" s="136" t="str">
        <f t="shared" si="1"/>
        <v/>
      </c>
      <c r="E28" s="148"/>
      <c r="F28" s="188" t="str">
        <f t="shared" si="2"/>
        <v/>
      </c>
      <c r="G28" s="182"/>
      <c r="H28" s="182"/>
      <c r="I28" s="182"/>
      <c r="K28" s="139" t="str">
        <f t="shared" si="3"/>
        <v/>
      </c>
      <c r="L28" s="139" t="str">
        <f t="shared" si="4"/>
        <v/>
      </c>
      <c r="Q28" s="6">
        <v>632410552</v>
      </c>
      <c r="R28" s="6" t="s">
        <v>1368</v>
      </c>
      <c r="S28" s="6">
        <v>552</v>
      </c>
      <c r="T28" s="6" t="s">
        <v>1354</v>
      </c>
      <c r="U28">
        <v>632</v>
      </c>
    </row>
    <row r="29" spans="1:21">
      <c r="A29" s="137" t="str">
        <f>IF(E29="","",VLOOKUP('Opći dio'!$C$3,'Opći dio'!$L$6:$U$137,10,FALSE))</f>
        <v/>
      </c>
      <c r="B29" s="137" t="str">
        <f>IF(E29="","",VLOOKUP('Opći dio'!$C$3,'Opći dio'!$L$6:$U$137,9,FALSE))</f>
        <v/>
      </c>
      <c r="C29" s="184" t="str">
        <f t="shared" si="0"/>
        <v/>
      </c>
      <c r="D29" s="136" t="str">
        <f t="shared" si="1"/>
        <v/>
      </c>
      <c r="E29" s="148"/>
      <c r="F29" s="188" t="str">
        <f t="shared" si="2"/>
        <v/>
      </c>
      <c r="G29" s="182"/>
      <c r="H29" s="182"/>
      <c r="I29" s="182"/>
      <c r="K29" s="139" t="str">
        <f t="shared" si="3"/>
        <v/>
      </c>
      <c r="L29" s="139" t="str">
        <f t="shared" si="4"/>
        <v/>
      </c>
      <c r="Q29" s="6">
        <v>632410559</v>
      </c>
      <c r="R29" s="6" t="s">
        <v>1369</v>
      </c>
      <c r="S29" s="6">
        <v>559</v>
      </c>
      <c r="T29" s="6" t="s">
        <v>1355</v>
      </c>
      <c r="U29">
        <v>632</v>
      </c>
    </row>
    <row r="30" spans="1:21">
      <c r="A30" s="137" t="str">
        <f>IF(E30="","",VLOOKUP('Opći dio'!$C$3,'Opći dio'!$L$6:$U$137,10,FALSE))</f>
        <v/>
      </c>
      <c r="B30" s="137" t="str">
        <f>IF(E30="","",VLOOKUP('Opći dio'!$C$3,'Opći dio'!$L$6:$U$137,9,FALSE))</f>
        <v/>
      </c>
      <c r="C30" s="184" t="str">
        <f t="shared" si="0"/>
        <v/>
      </c>
      <c r="D30" s="136" t="str">
        <f t="shared" si="1"/>
        <v/>
      </c>
      <c r="E30" s="148"/>
      <c r="F30" s="188" t="str">
        <f t="shared" si="2"/>
        <v/>
      </c>
      <c r="G30" s="182"/>
      <c r="H30" s="182"/>
      <c r="I30" s="182"/>
      <c r="K30" s="139" t="str">
        <f t="shared" si="3"/>
        <v/>
      </c>
      <c r="L30" s="139" t="str">
        <f t="shared" si="4"/>
        <v/>
      </c>
      <c r="Q30" s="6">
        <v>632410561</v>
      </c>
      <c r="R30" s="6" t="s">
        <v>115</v>
      </c>
      <c r="S30" s="6">
        <v>561</v>
      </c>
      <c r="T30" s="6" t="s">
        <v>115</v>
      </c>
      <c r="U30">
        <v>632</v>
      </c>
    </row>
    <row r="31" spans="1:21">
      <c r="A31" s="137" t="str">
        <f>IF(E31="","",VLOOKUP('Opći dio'!$C$3,'Opći dio'!$L$6:$U$137,10,FALSE))</f>
        <v/>
      </c>
      <c r="B31" s="137" t="str">
        <f>IF(E31="","",VLOOKUP('Opći dio'!$C$3,'Opći dio'!$L$6:$U$137,9,FALSE))</f>
        <v/>
      </c>
      <c r="C31" s="184" t="str">
        <f t="shared" si="0"/>
        <v/>
      </c>
      <c r="D31" s="136" t="str">
        <f t="shared" si="1"/>
        <v/>
      </c>
      <c r="E31" s="148"/>
      <c r="F31" s="188" t="str">
        <f t="shared" si="2"/>
        <v/>
      </c>
      <c r="G31" s="182"/>
      <c r="H31" s="182"/>
      <c r="I31" s="182"/>
      <c r="K31" s="139" t="str">
        <f t="shared" si="3"/>
        <v/>
      </c>
      <c r="L31" s="139" t="str">
        <f t="shared" si="4"/>
        <v/>
      </c>
      <c r="Q31" s="6">
        <v>632410563</v>
      </c>
      <c r="R31" s="6" t="s">
        <v>1954</v>
      </c>
      <c r="S31" s="6">
        <v>563</v>
      </c>
      <c r="T31" s="6" t="s">
        <v>117</v>
      </c>
      <c r="U31">
        <v>632</v>
      </c>
    </row>
    <row r="32" spans="1:21">
      <c r="A32" s="137" t="str">
        <f>IF(E32="","",VLOOKUP('Opći dio'!$C$3,'Opći dio'!$L$6:$U$137,10,FALSE))</f>
        <v/>
      </c>
      <c r="B32" s="137" t="str">
        <f>IF(E32="","",VLOOKUP('Opći dio'!$C$3,'Opći dio'!$L$6:$U$137,9,FALSE))</f>
        <v/>
      </c>
      <c r="C32" s="184" t="str">
        <f t="shared" si="0"/>
        <v/>
      </c>
      <c r="D32" s="136" t="str">
        <f t="shared" si="1"/>
        <v/>
      </c>
      <c r="E32" s="148"/>
      <c r="F32" s="188" t="str">
        <f t="shared" si="2"/>
        <v/>
      </c>
      <c r="G32" s="182"/>
      <c r="H32" s="182"/>
      <c r="I32" s="182"/>
      <c r="K32" s="139" t="str">
        <f t="shared" si="3"/>
        <v/>
      </c>
      <c r="L32" s="139" t="str">
        <f t="shared" si="4"/>
        <v/>
      </c>
      <c r="Q32" s="6">
        <v>632410573</v>
      </c>
      <c r="R32" s="6" t="s">
        <v>1370</v>
      </c>
      <c r="S32" s="6">
        <v>573</v>
      </c>
      <c r="T32" s="6" t="s">
        <v>1365</v>
      </c>
      <c r="U32">
        <v>632</v>
      </c>
    </row>
    <row r="33" spans="1:21">
      <c r="A33" s="137" t="str">
        <f>IF(E33="","",VLOOKUP('Opći dio'!$C$3,'Opći dio'!$L$6:$U$137,10,FALSE))</f>
        <v/>
      </c>
      <c r="B33" s="137" t="str">
        <f>IF(E33="","",VLOOKUP('Opći dio'!$C$3,'Opći dio'!$L$6:$U$137,9,FALSE))</f>
        <v/>
      </c>
      <c r="C33" s="184" t="str">
        <f t="shared" si="0"/>
        <v/>
      </c>
      <c r="D33" s="136" t="str">
        <f t="shared" si="1"/>
        <v/>
      </c>
      <c r="E33" s="148"/>
      <c r="F33" s="188" t="str">
        <f t="shared" si="2"/>
        <v/>
      </c>
      <c r="G33" s="182"/>
      <c r="H33" s="182"/>
      <c r="I33" s="182"/>
      <c r="K33" s="139" t="str">
        <f t="shared" si="3"/>
        <v/>
      </c>
      <c r="L33" s="139" t="str">
        <f t="shared" si="4"/>
        <v/>
      </c>
      <c r="Q33" s="6">
        <v>632410575</v>
      </c>
      <c r="R33" s="6" t="s">
        <v>1371</v>
      </c>
      <c r="S33" s="6">
        <v>575</v>
      </c>
      <c r="T33" s="6" t="s">
        <v>1367</v>
      </c>
      <c r="U33">
        <v>632</v>
      </c>
    </row>
    <row r="34" spans="1:21">
      <c r="A34" s="137" t="str">
        <f>IF(E34="","",VLOOKUP('Opći dio'!$C$3,'Opći dio'!$L$6:$U$137,10,FALSE))</f>
        <v/>
      </c>
      <c r="B34" s="137" t="str">
        <f>IF(E34="","",VLOOKUP('Opći dio'!$C$3,'Opći dio'!$L$6:$U$137,9,FALSE))</f>
        <v/>
      </c>
      <c r="C34" s="184" t="str">
        <f t="shared" si="0"/>
        <v/>
      </c>
      <c r="D34" s="136" t="str">
        <f t="shared" si="1"/>
        <v/>
      </c>
      <c r="E34" s="148"/>
      <c r="F34" s="188" t="str">
        <f t="shared" si="2"/>
        <v/>
      </c>
      <c r="G34" s="182"/>
      <c r="H34" s="182"/>
      <c r="I34" s="182"/>
      <c r="K34" s="139" t="str">
        <f t="shared" si="3"/>
        <v/>
      </c>
      <c r="L34" s="139" t="str">
        <f t="shared" si="4"/>
        <v/>
      </c>
      <c r="Q34" s="6">
        <v>632415761</v>
      </c>
      <c r="R34" s="6" t="s">
        <v>1991</v>
      </c>
      <c r="S34" s="6">
        <v>576</v>
      </c>
      <c r="T34" s="6" t="s">
        <v>1905</v>
      </c>
      <c r="U34">
        <v>632</v>
      </c>
    </row>
    <row r="35" spans="1:21">
      <c r="A35" s="137" t="str">
        <f>IF(E35="","",VLOOKUP('Opći dio'!$C$3,'Opći dio'!$L$6:$U$137,10,FALSE))</f>
        <v/>
      </c>
      <c r="B35" s="137" t="str">
        <f>IF(E35="","",VLOOKUP('Opći dio'!$C$3,'Opći dio'!$L$6:$U$137,9,FALSE))</f>
        <v/>
      </c>
      <c r="C35" s="184" t="str">
        <f t="shared" si="0"/>
        <v/>
      </c>
      <c r="D35" s="136" t="str">
        <f t="shared" si="1"/>
        <v/>
      </c>
      <c r="E35" s="148"/>
      <c r="F35" s="188" t="str">
        <f t="shared" si="2"/>
        <v/>
      </c>
      <c r="G35" s="182"/>
      <c r="H35" s="182"/>
      <c r="I35" s="182"/>
      <c r="K35" s="139" t="str">
        <f t="shared" si="3"/>
        <v/>
      </c>
      <c r="L35" s="139" t="str">
        <f t="shared" si="4"/>
        <v/>
      </c>
      <c r="Q35" s="6">
        <v>632410581</v>
      </c>
      <c r="R35" s="6" t="s">
        <v>1993</v>
      </c>
      <c r="S35" s="6">
        <v>581</v>
      </c>
      <c r="T35" s="6" t="s">
        <v>1988</v>
      </c>
      <c r="U35">
        <v>632</v>
      </c>
    </row>
    <row r="36" spans="1:21">
      <c r="A36" s="137" t="str">
        <f>IF(E36="","",VLOOKUP('Opći dio'!$C$3,'Opći dio'!$L$6:$U$137,10,FALSE))</f>
        <v/>
      </c>
      <c r="B36" s="137" t="str">
        <f>IF(E36="","",VLOOKUP('Opći dio'!$C$3,'Opći dio'!$L$6:$U$137,9,FALSE))</f>
        <v/>
      </c>
      <c r="C36" s="184" t="str">
        <f t="shared" si="0"/>
        <v/>
      </c>
      <c r="D36" s="136" t="str">
        <f t="shared" si="1"/>
        <v/>
      </c>
      <c r="E36" s="148"/>
      <c r="F36" s="188" t="str">
        <f t="shared" si="2"/>
        <v/>
      </c>
      <c r="G36" s="182"/>
      <c r="H36" s="182"/>
      <c r="I36" s="182"/>
      <c r="K36" s="139" t="str">
        <f t="shared" si="3"/>
        <v/>
      </c>
      <c r="L36" s="139" t="str">
        <f t="shared" si="4"/>
        <v/>
      </c>
      <c r="Q36" s="6">
        <v>632411700</v>
      </c>
      <c r="R36" s="6" t="s">
        <v>24</v>
      </c>
      <c r="S36" s="6">
        <v>51</v>
      </c>
      <c r="T36" s="6" t="s">
        <v>1876</v>
      </c>
      <c r="U36">
        <v>632</v>
      </c>
    </row>
    <row r="37" spans="1:21">
      <c r="A37" s="137" t="str">
        <f>IF(E37="","",VLOOKUP('Opći dio'!$C$3,'Opći dio'!$L$6:$U$137,10,FALSE))</f>
        <v/>
      </c>
      <c r="B37" s="137" t="str">
        <f>IF(E37="","",VLOOKUP('Opći dio'!$C$3,'Opći dio'!$L$6:$U$137,9,FALSE))</f>
        <v/>
      </c>
      <c r="C37" s="184" t="str">
        <f t="shared" si="0"/>
        <v/>
      </c>
      <c r="D37" s="136" t="str">
        <f t="shared" si="1"/>
        <v/>
      </c>
      <c r="E37" s="148"/>
      <c r="F37" s="188" t="str">
        <f t="shared" si="2"/>
        <v/>
      </c>
      <c r="G37" s="182"/>
      <c r="H37" s="182"/>
      <c r="I37" s="182"/>
      <c r="K37" s="139" t="str">
        <f t="shared" si="3"/>
        <v/>
      </c>
      <c r="L37" s="139" t="str">
        <f t="shared" si="4"/>
        <v/>
      </c>
      <c r="Q37" s="6">
        <v>6341</v>
      </c>
      <c r="R37" s="6" t="s">
        <v>1907</v>
      </c>
      <c r="S37" s="6">
        <v>52</v>
      </c>
      <c r="T37" s="6" t="s">
        <v>1873</v>
      </c>
      <c r="U37">
        <v>634</v>
      </c>
    </row>
    <row r="38" spans="1:21">
      <c r="A38" s="137" t="str">
        <f>IF(E38="","",VLOOKUP('Opći dio'!$C$3,'Opći dio'!$L$6:$U$137,10,FALSE))</f>
        <v/>
      </c>
      <c r="B38" s="137" t="str">
        <f>IF(E38="","",VLOOKUP('Opći dio'!$C$3,'Opći dio'!$L$6:$U$137,9,FALSE))</f>
        <v/>
      </c>
      <c r="C38" s="184" t="str">
        <f t="shared" si="0"/>
        <v/>
      </c>
      <c r="D38" s="136" t="str">
        <f t="shared" si="1"/>
        <v/>
      </c>
      <c r="E38" s="148"/>
      <c r="F38" s="188" t="str">
        <f t="shared" si="2"/>
        <v/>
      </c>
      <c r="G38" s="182"/>
      <c r="H38" s="182"/>
      <c r="I38" s="182"/>
      <c r="K38" s="139" t="str">
        <f t="shared" si="3"/>
        <v/>
      </c>
      <c r="L38" s="139" t="str">
        <f t="shared" si="4"/>
        <v/>
      </c>
      <c r="Q38" s="6">
        <v>6342</v>
      </c>
      <c r="R38" s="6" t="s">
        <v>1908</v>
      </c>
      <c r="S38" s="6">
        <v>52</v>
      </c>
      <c r="T38" s="6" t="s">
        <v>1873</v>
      </c>
      <c r="U38">
        <v>634</v>
      </c>
    </row>
    <row r="39" spans="1:21">
      <c r="A39" s="137" t="str">
        <f>IF(E39="","",VLOOKUP('Opći dio'!$C$3,'Opći dio'!$L$6:$U$137,10,FALSE))</f>
        <v/>
      </c>
      <c r="B39" s="137" t="str">
        <f>IF(E39="","",VLOOKUP('Opći dio'!$C$3,'Opći dio'!$L$6:$U$137,9,FALSE))</f>
        <v/>
      </c>
      <c r="C39" s="184" t="str">
        <f t="shared" si="0"/>
        <v/>
      </c>
      <c r="D39" s="136" t="str">
        <f t="shared" si="1"/>
        <v/>
      </c>
      <c r="E39" s="148"/>
      <c r="F39" s="188" t="str">
        <f t="shared" si="2"/>
        <v/>
      </c>
      <c r="G39" s="182"/>
      <c r="H39" s="182"/>
      <c r="I39" s="182"/>
      <c r="K39" s="139" t="str">
        <f t="shared" si="3"/>
        <v/>
      </c>
      <c r="L39" s="139" t="str">
        <f t="shared" si="4"/>
        <v/>
      </c>
      <c r="Q39" s="6">
        <v>6361</v>
      </c>
      <c r="R39" s="6" t="s">
        <v>1877</v>
      </c>
      <c r="S39" s="6">
        <v>52</v>
      </c>
      <c r="T39" s="6" t="s">
        <v>1873</v>
      </c>
      <c r="U39">
        <v>636</v>
      </c>
    </row>
    <row r="40" spans="1:21">
      <c r="A40" s="137" t="str">
        <f>IF(E40="","",VLOOKUP('Opći dio'!$C$3,'Opći dio'!$L$6:$U$137,10,FALSE))</f>
        <v/>
      </c>
      <c r="B40" s="137" t="str">
        <f>IF(E40="","",VLOOKUP('Opći dio'!$C$3,'Opći dio'!$L$6:$U$137,9,FALSE))</f>
        <v/>
      </c>
      <c r="C40" s="184" t="str">
        <f t="shared" si="0"/>
        <v/>
      </c>
      <c r="D40" s="136" t="str">
        <f t="shared" si="1"/>
        <v/>
      </c>
      <c r="E40" s="148"/>
      <c r="F40" s="188" t="str">
        <f t="shared" si="2"/>
        <v/>
      </c>
      <c r="G40" s="182"/>
      <c r="H40" s="182"/>
      <c r="I40" s="182"/>
      <c r="K40" s="139" t="str">
        <f t="shared" si="3"/>
        <v/>
      </c>
      <c r="L40" s="139" t="str">
        <f t="shared" si="4"/>
        <v/>
      </c>
      <c r="Q40" s="6">
        <v>6362</v>
      </c>
      <c r="R40" s="6" t="s">
        <v>1878</v>
      </c>
      <c r="S40" s="6">
        <v>52</v>
      </c>
      <c r="T40" s="6" t="s">
        <v>1873</v>
      </c>
      <c r="U40">
        <v>636</v>
      </c>
    </row>
    <row r="41" spans="1:21">
      <c r="A41" s="137" t="str">
        <f>IF(E41="","",VLOOKUP('Opći dio'!$C$3,'Opći dio'!$L$6:$U$137,10,FALSE))</f>
        <v/>
      </c>
      <c r="B41" s="137" t="str">
        <f>IF(E41="","",VLOOKUP('Opći dio'!$C$3,'Opći dio'!$L$6:$U$137,9,FALSE))</f>
        <v/>
      </c>
      <c r="C41" s="184" t="str">
        <f t="shared" si="0"/>
        <v/>
      </c>
      <c r="D41" s="136" t="str">
        <f t="shared" si="1"/>
        <v/>
      </c>
      <c r="E41" s="148"/>
      <c r="F41" s="188" t="str">
        <f t="shared" si="2"/>
        <v/>
      </c>
      <c r="G41" s="182"/>
      <c r="H41" s="182"/>
      <c r="I41" s="182"/>
      <c r="K41" s="139" t="str">
        <f t="shared" si="3"/>
        <v/>
      </c>
      <c r="L41" s="139" t="str">
        <f t="shared" si="4"/>
        <v/>
      </c>
      <c r="Q41" s="6">
        <v>6381</v>
      </c>
      <c r="R41" s="6" t="s">
        <v>1994</v>
      </c>
      <c r="S41" s="6">
        <v>52</v>
      </c>
      <c r="T41" s="6" t="s">
        <v>1873</v>
      </c>
      <c r="U41">
        <v>638</v>
      </c>
    </row>
    <row r="42" spans="1:21">
      <c r="A42" s="137" t="str">
        <f>IF(E42="","",VLOOKUP('Opći dio'!$C$3,'Opći dio'!$L$6:$U$137,10,FALSE))</f>
        <v/>
      </c>
      <c r="B42" s="137" t="str">
        <f>IF(E42="","",VLOOKUP('Opći dio'!$C$3,'Opći dio'!$L$6:$U$137,9,FALSE))</f>
        <v/>
      </c>
      <c r="C42" s="184" t="str">
        <f t="shared" si="0"/>
        <v/>
      </c>
      <c r="D42" s="136" t="str">
        <f t="shared" si="1"/>
        <v/>
      </c>
      <c r="E42" s="148"/>
      <c r="F42" s="188" t="str">
        <f t="shared" si="2"/>
        <v/>
      </c>
      <c r="G42" s="182"/>
      <c r="H42" s="182"/>
      <c r="I42" s="182"/>
      <c r="K42" s="139" t="str">
        <f>LEFT(E42,3)</f>
        <v/>
      </c>
      <c r="L42" s="139" t="str">
        <f>LEFT(E42,2)</f>
        <v/>
      </c>
      <c r="Q42" s="6">
        <v>6382</v>
      </c>
      <c r="R42" s="6" t="s">
        <v>1995</v>
      </c>
      <c r="S42" s="6">
        <v>52</v>
      </c>
      <c r="T42" s="6" t="s">
        <v>1873</v>
      </c>
      <c r="U42">
        <v>638</v>
      </c>
    </row>
    <row r="43" spans="1:21">
      <c r="A43" s="137" t="str">
        <f>IF(E43="","",VLOOKUP('Opći dio'!$C$3,'Opći dio'!$L$6:$U$137,10,FALSE))</f>
        <v/>
      </c>
      <c r="B43" s="137" t="str">
        <f>IF(E43="","",VLOOKUP('Opći dio'!$C$3,'Opći dio'!$L$6:$U$137,9,FALSE))</f>
        <v/>
      </c>
      <c r="C43" s="184" t="str">
        <f t="shared" si="0"/>
        <v/>
      </c>
      <c r="D43" s="136" t="str">
        <f t="shared" si="1"/>
        <v/>
      </c>
      <c r="E43" s="148"/>
      <c r="F43" s="188" t="str">
        <f t="shared" si="2"/>
        <v/>
      </c>
      <c r="G43" s="182"/>
      <c r="H43" s="182"/>
      <c r="I43" s="182"/>
      <c r="K43" s="139" t="str">
        <f t="shared" si="3"/>
        <v/>
      </c>
      <c r="L43" s="139" t="str">
        <f t="shared" si="4"/>
        <v/>
      </c>
      <c r="Q43" s="6">
        <v>6391</v>
      </c>
      <c r="R43" s="6" t="s">
        <v>31</v>
      </c>
      <c r="S43" s="6">
        <v>52</v>
      </c>
      <c r="T43" s="6" t="s">
        <v>1873</v>
      </c>
      <c r="U43">
        <v>639</v>
      </c>
    </row>
    <row r="44" spans="1:21">
      <c r="A44" s="137" t="str">
        <f>IF(E44="","",VLOOKUP('Opći dio'!$C$3,'Opći dio'!$L$6:$U$137,10,FALSE))</f>
        <v/>
      </c>
      <c r="B44" s="137" t="str">
        <f>IF(E44="","",VLOOKUP('Opći dio'!$C$3,'Opći dio'!$L$6:$U$137,9,FALSE))</f>
        <v/>
      </c>
      <c r="C44" s="184" t="str">
        <f t="shared" si="0"/>
        <v/>
      </c>
      <c r="D44" s="136" t="str">
        <f t="shared" si="1"/>
        <v/>
      </c>
      <c r="E44" s="148"/>
      <c r="F44" s="188" t="str">
        <f t="shared" si="2"/>
        <v/>
      </c>
      <c r="G44" s="182"/>
      <c r="H44" s="182"/>
      <c r="I44" s="182"/>
      <c r="K44" s="139" t="str">
        <f t="shared" si="3"/>
        <v/>
      </c>
      <c r="L44" s="139" t="str">
        <f t="shared" si="4"/>
        <v/>
      </c>
      <c r="Q44" s="6">
        <v>6392</v>
      </c>
      <c r="R44" s="6" t="s">
        <v>32</v>
      </c>
      <c r="S44" s="6">
        <v>52</v>
      </c>
      <c r="T44" s="6" t="s">
        <v>1873</v>
      </c>
      <c r="U44">
        <v>639</v>
      </c>
    </row>
    <row r="45" spans="1:21">
      <c r="A45" s="137" t="str">
        <f>IF(E45="","",VLOOKUP('Opći dio'!$C$3,'Opći dio'!$L$6:$U$137,10,FALSE))</f>
        <v/>
      </c>
      <c r="B45" s="137" t="str">
        <f>IF(E45="","",VLOOKUP('Opći dio'!$C$3,'Opći dio'!$L$6:$U$137,9,FALSE))</f>
        <v/>
      </c>
      <c r="C45" s="184" t="str">
        <f t="shared" si="0"/>
        <v/>
      </c>
      <c r="D45" s="136" t="str">
        <f t="shared" si="1"/>
        <v/>
      </c>
      <c r="E45" s="148"/>
      <c r="F45" s="188" t="str">
        <f t="shared" si="2"/>
        <v/>
      </c>
      <c r="G45" s="182"/>
      <c r="H45" s="182"/>
      <c r="I45" s="182"/>
      <c r="K45" s="139" t="str">
        <f t="shared" si="3"/>
        <v/>
      </c>
      <c r="L45" s="139" t="str">
        <f t="shared" si="4"/>
        <v/>
      </c>
      <c r="Q45" s="6">
        <v>6393</v>
      </c>
      <c r="R45" s="6" t="s">
        <v>33</v>
      </c>
      <c r="S45" s="6">
        <v>52</v>
      </c>
      <c r="T45" s="6" t="s">
        <v>1873</v>
      </c>
      <c r="U45">
        <v>639</v>
      </c>
    </row>
    <row r="46" spans="1:21">
      <c r="A46" s="137" t="str">
        <f>IF(E46="","",VLOOKUP('Opći dio'!$C$3,'Opći dio'!$L$6:$U$137,10,FALSE))</f>
        <v/>
      </c>
      <c r="B46" s="137" t="str">
        <f>IF(E46="","",VLOOKUP('Opći dio'!$C$3,'Opći dio'!$L$6:$U$137,9,FALSE))</f>
        <v/>
      </c>
      <c r="C46" s="184" t="str">
        <f t="shared" si="0"/>
        <v/>
      </c>
      <c r="D46" s="136" t="str">
        <f t="shared" si="1"/>
        <v/>
      </c>
      <c r="E46" s="148"/>
      <c r="F46" s="188" t="str">
        <f t="shared" si="2"/>
        <v/>
      </c>
      <c r="G46" s="182"/>
      <c r="H46" s="182"/>
      <c r="I46" s="182"/>
      <c r="K46" s="139" t="str">
        <f t="shared" si="3"/>
        <v/>
      </c>
      <c r="L46" s="139" t="str">
        <f t="shared" si="4"/>
        <v/>
      </c>
      <c r="Q46" s="6">
        <v>6394</v>
      </c>
      <c r="R46" s="6" t="s">
        <v>34</v>
      </c>
      <c r="S46" s="6">
        <v>52</v>
      </c>
      <c r="T46" s="6" t="s">
        <v>1873</v>
      </c>
      <c r="U46">
        <v>639</v>
      </c>
    </row>
    <row r="47" spans="1:21">
      <c r="A47" s="137" t="str">
        <f>IF(E47="","",VLOOKUP('Opći dio'!$C$3,'Opći dio'!$L$6:$U$137,10,FALSE))</f>
        <v/>
      </c>
      <c r="B47" s="137" t="str">
        <f>IF(E47="","",VLOOKUP('Opći dio'!$C$3,'Opći dio'!$L$6:$U$137,9,FALSE))</f>
        <v/>
      </c>
      <c r="C47" s="184" t="str">
        <f t="shared" si="0"/>
        <v/>
      </c>
      <c r="D47" s="136" t="str">
        <f t="shared" si="1"/>
        <v/>
      </c>
      <c r="E47" s="148"/>
      <c r="F47" s="188" t="str">
        <f t="shared" si="2"/>
        <v/>
      </c>
      <c r="G47" s="182"/>
      <c r="H47" s="182"/>
      <c r="I47" s="182"/>
      <c r="K47" s="139" t="str">
        <f t="shared" si="3"/>
        <v/>
      </c>
      <c r="L47" s="139" t="str">
        <f t="shared" si="4"/>
        <v/>
      </c>
      <c r="Q47" s="6">
        <v>641290031</v>
      </c>
      <c r="R47" s="6" t="s">
        <v>230</v>
      </c>
      <c r="S47" s="6">
        <v>31</v>
      </c>
      <c r="T47" s="6" t="s">
        <v>95</v>
      </c>
      <c r="U47">
        <v>641</v>
      </c>
    </row>
    <row r="48" spans="1:21">
      <c r="A48" s="137" t="str">
        <f>IF(E48="","",VLOOKUP('Opći dio'!$C$3,'Opći dio'!$L$6:$U$137,10,FALSE))</f>
        <v/>
      </c>
      <c r="B48" s="137" t="str">
        <f>IF(E48="","",VLOOKUP('Opći dio'!$C$3,'Opći dio'!$L$6:$U$137,9,FALSE))</f>
        <v/>
      </c>
      <c r="C48" s="184" t="str">
        <f t="shared" si="0"/>
        <v/>
      </c>
      <c r="D48" s="136" t="str">
        <f t="shared" si="1"/>
        <v/>
      </c>
      <c r="E48" s="148"/>
      <c r="F48" s="188" t="str">
        <f t="shared" si="2"/>
        <v/>
      </c>
      <c r="G48" s="182"/>
      <c r="H48" s="182"/>
      <c r="I48" s="182"/>
      <c r="K48" s="139" t="str">
        <f t="shared" si="3"/>
        <v/>
      </c>
      <c r="L48" s="139" t="str">
        <f t="shared" si="4"/>
        <v/>
      </c>
      <c r="Q48" s="6">
        <v>641310031</v>
      </c>
      <c r="R48" s="6" t="s">
        <v>231</v>
      </c>
      <c r="S48" s="6">
        <v>31</v>
      </c>
      <c r="T48" s="6" t="s">
        <v>95</v>
      </c>
      <c r="U48">
        <v>641</v>
      </c>
    </row>
    <row r="49" spans="1:21">
      <c r="A49" s="137" t="str">
        <f>IF(E49="","",VLOOKUP('Opći dio'!$C$3,'Opći dio'!$L$6:$U$137,10,FALSE))</f>
        <v/>
      </c>
      <c r="B49" s="137" t="str">
        <f>IF(E49="","",VLOOKUP('Opći dio'!$C$3,'Opći dio'!$L$6:$U$137,9,FALSE))</f>
        <v/>
      </c>
      <c r="C49" s="184" t="str">
        <f t="shared" si="0"/>
        <v/>
      </c>
      <c r="D49" s="136" t="str">
        <f t="shared" si="1"/>
        <v/>
      </c>
      <c r="E49" s="148"/>
      <c r="F49" s="188" t="str">
        <f t="shared" si="2"/>
        <v/>
      </c>
      <c r="G49" s="182"/>
      <c r="H49" s="182"/>
      <c r="I49" s="182"/>
      <c r="K49" s="139" t="str">
        <f t="shared" si="3"/>
        <v/>
      </c>
      <c r="L49" s="139" t="str">
        <f t="shared" si="4"/>
        <v/>
      </c>
      <c r="Q49" s="6">
        <v>641320031</v>
      </c>
      <c r="R49" s="6" t="s">
        <v>232</v>
      </c>
      <c r="S49" s="6">
        <v>31</v>
      </c>
      <c r="T49" s="6" t="s">
        <v>95</v>
      </c>
      <c r="U49">
        <v>641</v>
      </c>
    </row>
    <row r="50" spans="1:21">
      <c r="A50" s="137" t="str">
        <f>IF(E50="","",VLOOKUP('Opći dio'!$C$3,'Opći dio'!$L$6:$U$137,10,FALSE))</f>
        <v/>
      </c>
      <c r="B50" s="137" t="str">
        <f>IF(E50="","",VLOOKUP('Opći dio'!$C$3,'Opći dio'!$L$6:$U$137,9,FALSE))</f>
        <v/>
      </c>
      <c r="C50" s="184" t="str">
        <f t="shared" si="0"/>
        <v/>
      </c>
      <c r="D50" s="136" t="str">
        <f t="shared" si="1"/>
        <v/>
      </c>
      <c r="E50" s="148"/>
      <c r="F50" s="188" t="str">
        <f t="shared" si="2"/>
        <v/>
      </c>
      <c r="G50" s="182"/>
      <c r="H50" s="182"/>
      <c r="I50" s="182"/>
      <c r="K50" s="139" t="str">
        <f t="shared" si="3"/>
        <v/>
      </c>
      <c r="L50" s="139" t="str">
        <f t="shared" si="4"/>
        <v/>
      </c>
      <c r="Q50" s="6">
        <v>641320043</v>
      </c>
      <c r="R50" s="6" t="s">
        <v>1879</v>
      </c>
      <c r="S50" s="6">
        <v>43</v>
      </c>
      <c r="T50" s="6" t="s">
        <v>100</v>
      </c>
      <c r="U50">
        <v>641</v>
      </c>
    </row>
    <row r="51" spans="1:21">
      <c r="A51" s="137" t="str">
        <f>IF(E51="","",VLOOKUP('Opći dio'!$C$3,'Opći dio'!$L$6:$U$137,10,FALSE))</f>
        <v/>
      </c>
      <c r="B51" s="137" t="str">
        <f>IF(E51="","",VLOOKUP('Opći dio'!$C$3,'Opći dio'!$L$6:$U$137,9,FALSE))</f>
        <v/>
      </c>
      <c r="C51" s="184" t="str">
        <f t="shared" si="0"/>
        <v/>
      </c>
      <c r="D51" s="136" t="str">
        <f t="shared" si="1"/>
        <v/>
      </c>
      <c r="E51" s="148"/>
      <c r="F51" s="188" t="str">
        <f t="shared" si="2"/>
        <v/>
      </c>
      <c r="G51" s="182"/>
      <c r="H51" s="182"/>
      <c r="I51" s="182"/>
      <c r="K51" s="139" t="str">
        <f t="shared" si="3"/>
        <v/>
      </c>
      <c r="L51" s="139" t="str">
        <f t="shared" si="4"/>
        <v/>
      </c>
      <c r="Q51" s="6">
        <v>641510031</v>
      </c>
      <c r="R51" s="6" t="s">
        <v>1880</v>
      </c>
      <c r="S51" s="6">
        <v>31</v>
      </c>
      <c r="T51" s="6" t="s">
        <v>95</v>
      </c>
      <c r="U51">
        <v>641</v>
      </c>
    </row>
    <row r="52" spans="1:21">
      <c r="A52" s="137" t="str">
        <f>IF(E52="","",VLOOKUP('Opći dio'!$C$3,'Opći dio'!$L$6:$U$137,10,FALSE))</f>
        <v/>
      </c>
      <c r="B52" s="137" t="str">
        <f>IF(E52="","",VLOOKUP('Opći dio'!$C$3,'Opći dio'!$L$6:$U$137,9,FALSE))</f>
        <v/>
      </c>
      <c r="C52" s="184" t="str">
        <f t="shared" si="0"/>
        <v/>
      </c>
      <c r="D52" s="136" t="str">
        <f t="shared" si="1"/>
        <v/>
      </c>
      <c r="E52" s="148"/>
      <c r="F52" s="188" t="str">
        <f t="shared" si="2"/>
        <v/>
      </c>
      <c r="G52" s="182"/>
      <c r="H52" s="182"/>
      <c r="I52" s="182"/>
      <c r="K52" s="139" t="str">
        <f t="shared" si="3"/>
        <v/>
      </c>
      <c r="L52" s="139" t="str">
        <f t="shared" si="4"/>
        <v/>
      </c>
      <c r="Q52" s="6">
        <v>641510043</v>
      </c>
      <c r="R52" s="6" t="s">
        <v>1881</v>
      </c>
      <c r="S52" s="6">
        <v>43</v>
      </c>
      <c r="T52" s="6" t="s">
        <v>100</v>
      </c>
      <c r="U52">
        <v>641</v>
      </c>
    </row>
    <row r="53" spans="1:21">
      <c r="A53" s="137" t="str">
        <f>IF(E53="","",VLOOKUP('Opći dio'!$C$3,'Opći dio'!$L$6:$U$137,10,FALSE))</f>
        <v/>
      </c>
      <c r="B53" s="137" t="str">
        <f>IF(E53="","",VLOOKUP('Opći dio'!$C$3,'Opći dio'!$L$6:$U$137,9,FALSE))</f>
        <v/>
      </c>
      <c r="C53" s="184" t="str">
        <f t="shared" si="0"/>
        <v/>
      </c>
      <c r="D53" s="136" t="str">
        <f t="shared" si="1"/>
        <v/>
      </c>
      <c r="E53" s="148"/>
      <c r="F53" s="188" t="str">
        <f t="shared" si="2"/>
        <v/>
      </c>
      <c r="G53" s="182"/>
      <c r="H53" s="182"/>
      <c r="I53" s="182"/>
      <c r="K53" s="139" t="str">
        <f t="shared" si="3"/>
        <v/>
      </c>
      <c r="L53" s="139" t="str">
        <f t="shared" si="4"/>
        <v/>
      </c>
      <c r="Q53" s="6">
        <v>641630031</v>
      </c>
      <c r="R53" s="6" t="s">
        <v>233</v>
      </c>
      <c r="S53" s="6">
        <v>31</v>
      </c>
      <c r="T53" s="6" t="s">
        <v>95</v>
      </c>
      <c r="U53">
        <v>641</v>
      </c>
    </row>
    <row r="54" spans="1:21">
      <c r="A54" s="137" t="str">
        <f>IF(E54="","",VLOOKUP('Opći dio'!$C$3,'Opći dio'!$L$6:$U$137,10,FALSE))</f>
        <v/>
      </c>
      <c r="B54" s="137" t="str">
        <f>IF(E54="","",VLOOKUP('Opći dio'!$C$3,'Opći dio'!$L$6:$U$137,9,FALSE))</f>
        <v/>
      </c>
      <c r="C54" s="184" t="str">
        <f t="shared" si="0"/>
        <v/>
      </c>
      <c r="D54" s="136" t="str">
        <f t="shared" si="1"/>
        <v/>
      </c>
      <c r="E54" s="148"/>
      <c r="F54" s="188" t="str">
        <f t="shared" si="2"/>
        <v/>
      </c>
      <c r="G54" s="182"/>
      <c r="H54" s="182"/>
      <c r="I54" s="182"/>
      <c r="K54" s="139" t="str">
        <f t="shared" si="3"/>
        <v/>
      </c>
      <c r="L54" s="139" t="str">
        <f t="shared" si="4"/>
        <v/>
      </c>
      <c r="Q54" s="6">
        <v>641720043</v>
      </c>
      <c r="R54" s="6" t="s">
        <v>236</v>
      </c>
      <c r="S54" s="6">
        <v>43</v>
      </c>
      <c r="T54" s="6" t="s">
        <v>100</v>
      </c>
      <c r="U54">
        <v>641</v>
      </c>
    </row>
    <row r="55" spans="1:21">
      <c r="A55" s="137" t="str">
        <f>IF(E55="","",VLOOKUP('Opći dio'!$C$3,'Opći dio'!$L$6:$U$137,10,FALSE))</f>
        <v/>
      </c>
      <c r="B55" s="137" t="str">
        <f>IF(E55="","",VLOOKUP('Opći dio'!$C$3,'Opći dio'!$L$6:$U$137,9,FALSE))</f>
        <v/>
      </c>
      <c r="C55" s="184" t="str">
        <f t="shared" si="0"/>
        <v/>
      </c>
      <c r="D55" s="136" t="str">
        <f t="shared" si="1"/>
        <v/>
      </c>
      <c r="E55" s="148"/>
      <c r="F55" s="188" t="str">
        <f t="shared" si="2"/>
        <v/>
      </c>
      <c r="G55" s="182"/>
      <c r="H55" s="182"/>
      <c r="I55" s="182"/>
      <c r="K55" s="139" t="str">
        <f t="shared" si="3"/>
        <v/>
      </c>
      <c r="L55" s="139" t="str">
        <f t="shared" si="4"/>
        <v/>
      </c>
      <c r="Q55" s="6">
        <v>641770041</v>
      </c>
      <c r="R55" s="6" t="s">
        <v>1361</v>
      </c>
      <c r="S55" s="6">
        <v>41</v>
      </c>
      <c r="T55" s="6" t="s">
        <v>1353</v>
      </c>
      <c r="U55">
        <v>641</v>
      </c>
    </row>
    <row r="56" spans="1:21">
      <c r="A56" s="137" t="str">
        <f>IF(E56="","",VLOOKUP('Opći dio'!$C$3,'Opći dio'!$L$6:$U$137,10,FALSE))</f>
        <v/>
      </c>
      <c r="B56" s="137" t="str">
        <f>IF(E56="","",VLOOKUP('Opći dio'!$C$3,'Opći dio'!$L$6:$U$137,9,FALSE))</f>
        <v/>
      </c>
      <c r="C56" s="184" t="str">
        <f t="shared" si="0"/>
        <v/>
      </c>
      <c r="D56" s="136" t="str">
        <f t="shared" si="1"/>
        <v/>
      </c>
      <c r="E56" s="148"/>
      <c r="F56" s="188" t="str">
        <f t="shared" si="2"/>
        <v/>
      </c>
      <c r="G56" s="182"/>
      <c r="H56" s="182"/>
      <c r="I56" s="182"/>
      <c r="K56" s="139" t="str">
        <f t="shared" si="3"/>
        <v/>
      </c>
      <c r="L56" s="139" t="str">
        <f t="shared" si="4"/>
        <v/>
      </c>
      <c r="Q56" s="6">
        <v>641990043</v>
      </c>
      <c r="R56" s="6" t="s">
        <v>1882</v>
      </c>
      <c r="S56" s="6">
        <v>43</v>
      </c>
      <c r="T56" s="6" t="s">
        <v>100</v>
      </c>
      <c r="U56">
        <v>641</v>
      </c>
    </row>
    <row r="57" spans="1:21">
      <c r="A57" s="137" t="str">
        <f>IF(E57="","",VLOOKUP('Opći dio'!$C$3,'Opći dio'!$L$6:$U$137,10,FALSE))</f>
        <v/>
      </c>
      <c r="B57" s="137" t="str">
        <f>IF(E57="","",VLOOKUP('Opći dio'!$C$3,'Opći dio'!$L$6:$U$137,9,FALSE))</f>
        <v/>
      </c>
      <c r="C57" s="184" t="str">
        <f t="shared" si="0"/>
        <v/>
      </c>
      <c r="D57" s="136" t="str">
        <f t="shared" si="1"/>
        <v/>
      </c>
      <c r="E57" s="148"/>
      <c r="F57" s="188" t="str">
        <f t="shared" si="2"/>
        <v/>
      </c>
      <c r="G57" s="182"/>
      <c r="H57" s="182"/>
      <c r="I57" s="182"/>
      <c r="K57" s="139" t="str">
        <f t="shared" si="3"/>
        <v/>
      </c>
      <c r="L57" s="139" t="str">
        <f t="shared" si="4"/>
        <v/>
      </c>
      <c r="Q57" s="6">
        <v>642510031</v>
      </c>
      <c r="R57" s="6" t="s">
        <v>234</v>
      </c>
      <c r="S57" s="6">
        <v>31</v>
      </c>
      <c r="T57" s="6" t="s">
        <v>95</v>
      </c>
      <c r="U57">
        <v>642</v>
      </c>
    </row>
    <row r="58" spans="1:21">
      <c r="A58" s="137" t="str">
        <f>IF(E58="","",VLOOKUP('Opći dio'!$C$3,'Opći dio'!$L$6:$U$137,10,FALSE))</f>
        <v/>
      </c>
      <c r="B58" s="137" t="str">
        <f>IF(E58="","",VLOOKUP('Opći dio'!$C$3,'Opći dio'!$L$6:$U$137,9,FALSE))</f>
        <v/>
      </c>
      <c r="C58" s="184" t="str">
        <f t="shared" si="0"/>
        <v/>
      </c>
      <c r="D58" s="136" t="str">
        <f t="shared" si="1"/>
        <v/>
      </c>
      <c r="E58" s="148"/>
      <c r="F58" s="188" t="str">
        <f t="shared" si="2"/>
        <v/>
      </c>
      <c r="G58" s="182"/>
      <c r="H58" s="182"/>
      <c r="I58" s="182"/>
      <c r="K58" s="139" t="str">
        <f t="shared" si="3"/>
        <v/>
      </c>
      <c r="L58" s="139" t="str">
        <f t="shared" si="4"/>
        <v/>
      </c>
      <c r="Q58" s="6">
        <v>642990031</v>
      </c>
      <c r="R58" s="6" t="s">
        <v>235</v>
      </c>
      <c r="S58" s="6">
        <v>31</v>
      </c>
      <c r="T58" s="6" t="s">
        <v>95</v>
      </c>
      <c r="U58">
        <v>642</v>
      </c>
    </row>
    <row r="59" spans="1:21">
      <c r="A59" s="137" t="str">
        <f>IF(E59="","",VLOOKUP('Opći dio'!$C$3,'Opći dio'!$L$6:$U$137,10,FALSE))</f>
        <v/>
      </c>
      <c r="B59" s="137" t="str">
        <f>IF(E59="","",VLOOKUP('Opći dio'!$C$3,'Opći dio'!$L$6:$U$137,9,FALSE))</f>
        <v/>
      </c>
      <c r="C59" s="184" t="str">
        <f t="shared" si="0"/>
        <v/>
      </c>
      <c r="D59" s="136" t="str">
        <f t="shared" si="1"/>
        <v/>
      </c>
      <c r="E59" s="148"/>
      <c r="F59" s="188" t="str">
        <f t="shared" si="2"/>
        <v/>
      </c>
      <c r="G59" s="182"/>
      <c r="H59" s="182"/>
      <c r="I59" s="182"/>
      <c r="K59" s="139" t="str">
        <f t="shared" si="3"/>
        <v/>
      </c>
      <c r="L59" s="139" t="str">
        <f t="shared" si="4"/>
        <v/>
      </c>
      <c r="Q59" s="6">
        <v>65148</v>
      </c>
      <c r="R59" s="6" t="s">
        <v>22</v>
      </c>
      <c r="S59" s="6">
        <v>43</v>
      </c>
      <c r="T59" s="6" t="s">
        <v>100</v>
      </c>
      <c r="U59">
        <v>651</v>
      </c>
    </row>
    <row r="60" spans="1:21">
      <c r="A60" s="137" t="str">
        <f>IF(E60="","",VLOOKUP('Opći dio'!$C$3,'Opći dio'!$L$6:$U$137,10,FALSE))</f>
        <v/>
      </c>
      <c r="B60" s="137" t="str">
        <f>IF(E60="","",VLOOKUP('Opći dio'!$C$3,'Opći dio'!$L$6:$U$137,9,FALSE))</f>
        <v/>
      </c>
      <c r="C60" s="184" t="str">
        <f t="shared" si="0"/>
        <v/>
      </c>
      <c r="D60" s="136" t="str">
        <f t="shared" si="1"/>
        <v/>
      </c>
      <c r="E60" s="148"/>
      <c r="F60" s="188" t="str">
        <f t="shared" si="2"/>
        <v/>
      </c>
      <c r="G60" s="182"/>
      <c r="H60" s="182"/>
      <c r="I60" s="182"/>
      <c r="K60" s="139" t="str">
        <f t="shared" si="3"/>
        <v/>
      </c>
      <c r="L60" s="139" t="str">
        <f t="shared" si="4"/>
        <v/>
      </c>
      <c r="Q60" s="6">
        <v>65218</v>
      </c>
      <c r="R60" s="6" t="s">
        <v>1883</v>
      </c>
      <c r="S60" s="6">
        <v>43</v>
      </c>
      <c r="T60" s="6" t="s">
        <v>100</v>
      </c>
      <c r="U60">
        <v>652</v>
      </c>
    </row>
    <row r="61" spans="1:21">
      <c r="A61" s="137" t="str">
        <f>IF(E61="","",VLOOKUP('Opći dio'!$C$3,'Opći dio'!$L$6:$U$137,10,FALSE))</f>
        <v/>
      </c>
      <c r="B61" s="137" t="str">
        <f>IF(E61="","",VLOOKUP('Opći dio'!$C$3,'Opći dio'!$L$6:$U$137,9,FALSE))</f>
        <v/>
      </c>
      <c r="C61" s="184" t="str">
        <f t="shared" si="0"/>
        <v/>
      </c>
      <c r="D61" s="136" t="str">
        <f t="shared" si="1"/>
        <v/>
      </c>
      <c r="E61" s="148"/>
      <c r="F61" s="188" t="str">
        <f t="shared" si="2"/>
        <v/>
      </c>
      <c r="G61" s="182"/>
      <c r="H61" s="182"/>
      <c r="I61" s="182"/>
      <c r="K61" s="139" t="str">
        <f t="shared" si="3"/>
        <v/>
      </c>
      <c r="L61" s="139" t="str">
        <f t="shared" si="4"/>
        <v/>
      </c>
      <c r="Q61" s="6">
        <v>65264</v>
      </c>
      <c r="R61" s="6" t="s">
        <v>237</v>
      </c>
      <c r="S61" s="6">
        <v>43</v>
      </c>
      <c r="T61" s="6" t="s">
        <v>100</v>
      </c>
      <c r="U61">
        <v>652</v>
      </c>
    </row>
    <row r="62" spans="1:21">
      <c r="A62" s="137" t="str">
        <f>IF(E62="","",VLOOKUP('Opći dio'!$C$3,'Opći dio'!$L$6:$U$137,10,FALSE))</f>
        <v/>
      </c>
      <c r="B62" s="137" t="str">
        <f>IF(E62="","",VLOOKUP('Opći dio'!$C$3,'Opći dio'!$L$6:$U$137,9,FALSE))</f>
        <v/>
      </c>
      <c r="C62" s="184" t="str">
        <f t="shared" si="0"/>
        <v/>
      </c>
      <c r="D62" s="136" t="str">
        <f t="shared" si="1"/>
        <v/>
      </c>
      <c r="E62" s="148"/>
      <c r="F62" s="188" t="str">
        <f t="shared" si="2"/>
        <v/>
      </c>
      <c r="G62" s="182"/>
      <c r="H62" s="182"/>
      <c r="I62" s="182"/>
      <c r="K62" s="139" t="str">
        <f t="shared" si="3"/>
        <v/>
      </c>
      <c r="L62" s="139" t="str">
        <f t="shared" si="4"/>
        <v/>
      </c>
      <c r="Q62" s="6">
        <v>652670043</v>
      </c>
      <c r="R62" s="6" t="s">
        <v>238</v>
      </c>
      <c r="S62" s="6">
        <v>43</v>
      </c>
      <c r="T62" s="6" t="s">
        <v>100</v>
      </c>
      <c r="U62">
        <v>652</v>
      </c>
    </row>
    <row r="63" spans="1:21">
      <c r="A63" s="137" t="str">
        <f>IF(E63="","",VLOOKUP('Opći dio'!$C$3,'Opći dio'!$L$6:$U$137,10,FALSE))</f>
        <v/>
      </c>
      <c r="B63" s="137" t="str">
        <f>IF(E63="","",VLOOKUP('Opći dio'!$C$3,'Opći dio'!$L$6:$U$137,9,FALSE))</f>
        <v/>
      </c>
      <c r="C63" s="184" t="str">
        <f t="shared" si="0"/>
        <v/>
      </c>
      <c r="D63" s="136" t="str">
        <f t="shared" si="1"/>
        <v/>
      </c>
      <c r="E63" s="148"/>
      <c r="F63" s="188" t="str">
        <f t="shared" si="2"/>
        <v/>
      </c>
      <c r="G63" s="182"/>
      <c r="H63" s="182"/>
      <c r="I63" s="182"/>
      <c r="K63" s="139" t="str">
        <f t="shared" si="3"/>
        <v/>
      </c>
      <c r="L63" s="139" t="str">
        <f t="shared" si="4"/>
        <v/>
      </c>
      <c r="Q63" s="6">
        <v>652670071</v>
      </c>
      <c r="R63" s="6" t="s">
        <v>1997</v>
      </c>
      <c r="S63" s="6">
        <v>71</v>
      </c>
      <c r="T63" s="6" t="s">
        <v>177</v>
      </c>
      <c r="U63">
        <v>652</v>
      </c>
    </row>
    <row r="64" spans="1:21">
      <c r="A64" s="137" t="str">
        <f>IF(E64="","",VLOOKUP('Opći dio'!$C$3,'Opći dio'!$L$6:$U$137,10,FALSE))</f>
        <v/>
      </c>
      <c r="B64" s="137" t="str">
        <f>IF(E64="","",VLOOKUP('Opći dio'!$C$3,'Opći dio'!$L$6:$U$137,9,FALSE))</f>
        <v/>
      </c>
      <c r="C64" s="184" t="str">
        <f t="shared" si="0"/>
        <v/>
      </c>
      <c r="D64" s="136" t="str">
        <f t="shared" si="1"/>
        <v/>
      </c>
      <c r="E64" s="148"/>
      <c r="F64" s="188" t="str">
        <f t="shared" si="2"/>
        <v/>
      </c>
      <c r="G64" s="182"/>
      <c r="H64" s="182"/>
      <c r="I64" s="182"/>
      <c r="K64" s="139" t="str">
        <f t="shared" si="3"/>
        <v/>
      </c>
      <c r="L64" s="139" t="str">
        <f t="shared" si="4"/>
        <v/>
      </c>
      <c r="Q64" s="6">
        <v>65268</v>
      </c>
      <c r="R64" s="6" t="s">
        <v>1884</v>
      </c>
      <c r="S64" s="6">
        <v>43</v>
      </c>
      <c r="T64" s="6" t="s">
        <v>100</v>
      </c>
      <c r="U64">
        <v>652</v>
      </c>
    </row>
    <row r="65" spans="1:21">
      <c r="A65" s="137" t="str">
        <f>IF(E65="","",VLOOKUP('Opći dio'!$C$3,'Opći dio'!$L$6:$U$137,10,FALSE))</f>
        <v/>
      </c>
      <c r="B65" s="137" t="str">
        <f>IF(E65="","",VLOOKUP('Opći dio'!$C$3,'Opći dio'!$L$6:$U$137,9,FALSE))</f>
        <v/>
      </c>
      <c r="C65" s="184" t="str">
        <f t="shared" si="0"/>
        <v/>
      </c>
      <c r="D65" s="136" t="str">
        <f t="shared" si="1"/>
        <v/>
      </c>
      <c r="E65" s="148"/>
      <c r="F65" s="188" t="str">
        <f t="shared" si="2"/>
        <v/>
      </c>
      <c r="G65" s="182"/>
      <c r="H65" s="182"/>
      <c r="I65" s="182"/>
      <c r="K65" s="139" t="str">
        <f t="shared" si="3"/>
        <v/>
      </c>
      <c r="L65" s="139" t="str">
        <f t="shared" si="4"/>
        <v/>
      </c>
      <c r="Q65" s="6">
        <v>6614</v>
      </c>
      <c r="R65" s="6" t="s">
        <v>1906</v>
      </c>
      <c r="S65" s="6">
        <v>31</v>
      </c>
      <c r="T65" s="6" t="s">
        <v>95</v>
      </c>
      <c r="U65">
        <v>661</v>
      </c>
    </row>
    <row r="66" spans="1:21">
      <c r="A66" s="137" t="str">
        <f>IF(E66="","",VLOOKUP('Opći dio'!$C$3,'Opći dio'!$L$6:$U$137,10,FALSE))</f>
        <v/>
      </c>
      <c r="B66" s="137" t="str">
        <f>IF(E66="","",VLOOKUP('Opći dio'!$C$3,'Opći dio'!$L$6:$U$137,9,FALSE))</f>
        <v/>
      </c>
      <c r="C66" s="184" t="str">
        <f t="shared" si="0"/>
        <v/>
      </c>
      <c r="D66" s="136" t="str">
        <f t="shared" si="1"/>
        <v/>
      </c>
      <c r="E66" s="148"/>
      <c r="F66" s="188" t="str">
        <f t="shared" si="2"/>
        <v/>
      </c>
      <c r="G66" s="182"/>
      <c r="H66" s="182"/>
      <c r="I66" s="182"/>
      <c r="K66" s="139" t="str">
        <f t="shared" si="3"/>
        <v/>
      </c>
      <c r="L66" s="139" t="str">
        <f t="shared" si="4"/>
        <v/>
      </c>
      <c r="Q66" s="6">
        <v>6615</v>
      </c>
      <c r="R66" s="6" t="s">
        <v>21</v>
      </c>
      <c r="S66" s="6">
        <v>31</v>
      </c>
      <c r="T66" s="6" t="s">
        <v>95</v>
      </c>
      <c r="U66">
        <v>661</v>
      </c>
    </row>
    <row r="67" spans="1:21">
      <c r="A67" s="137" t="str">
        <f>IF(E67="","",VLOOKUP('Opći dio'!$C$3,'Opći dio'!$L$6:$U$137,10,FALSE))</f>
        <v/>
      </c>
      <c r="B67" s="137" t="str">
        <f>IF(E67="","",VLOOKUP('Opći dio'!$C$3,'Opći dio'!$L$6:$U$137,9,FALSE))</f>
        <v/>
      </c>
      <c r="C67" s="184" t="str">
        <f t="shared" si="0"/>
        <v/>
      </c>
      <c r="D67" s="136" t="str">
        <f t="shared" si="1"/>
        <v/>
      </c>
      <c r="E67" s="148"/>
      <c r="F67" s="188" t="str">
        <f t="shared" si="2"/>
        <v/>
      </c>
      <c r="G67" s="182"/>
      <c r="H67" s="182"/>
      <c r="I67" s="182"/>
      <c r="K67" s="139" t="str">
        <f t="shared" si="3"/>
        <v/>
      </c>
      <c r="L67" s="139" t="str">
        <f t="shared" si="4"/>
        <v/>
      </c>
      <c r="Q67" s="6">
        <v>663110000</v>
      </c>
      <c r="R67" s="6" t="s">
        <v>35</v>
      </c>
      <c r="S67" s="6">
        <v>61</v>
      </c>
      <c r="T67" s="6" t="s">
        <v>1885</v>
      </c>
      <c r="U67">
        <v>663</v>
      </c>
    </row>
    <row r="68" spans="1:21">
      <c r="A68" s="137" t="str">
        <f>IF(E68="","",VLOOKUP('Opći dio'!$C$3,'Opći dio'!$L$6:$U$137,10,FALSE))</f>
        <v/>
      </c>
      <c r="B68" s="137" t="str">
        <f>IF(E68="","",VLOOKUP('Opći dio'!$C$3,'Opći dio'!$L$6:$U$137,9,FALSE))</f>
        <v/>
      </c>
      <c r="C68" s="184" t="str">
        <f t="shared" ref="C68:C131" si="5">IFERROR(VLOOKUP(E68,$Q$6:$T$105,3,FALSE),"")</f>
        <v/>
      </c>
      <c r="D68" s="136" t="str">
        <f t="shared" ref="D68:D131" si="6">IFERROR(VLOOKUP(E68,$Q$6:$T$105,4,FALSE),"")</f>
        <v/>
      </c>
      <c r="E68" s="148"/>
      <c r="F68" s="188" t="str">
        <f t="shared" ref="F68:F131" si="7">IFERROR(VLOOKUP(E68,$Q$6:$T$105,2,FALSE),"")</f>
        <v/>
      </c>
      <c r="G68" s="182"/>
      <c r="H68" s="182"/>
      <c r="I68" s="182"/>
      <c r="K68" s="139" t="str">
        <f t="shared" ref="K68:K131" si="8">LEFT(E68,3)</f>
        <v/>
      </c>
      <c r="L68" s="139" t="str">
        <f t="shared" ref="L68:L131" si="9">LEFT(E68,2)</f>
        <v/>
      </c>
      <c r="Q68" s="6">
        <v>663120000</v>
      </c>
      <c r="R68" s="6" t="s">
        <v>36</v>
      </c>
      <c r="S68" s="6">
        <v>61</v>
      </c>
      <c r="T68" s="6" t="s">
        <v>1885</v>
      </c>
      <c r="U68">
        <v>663</v>
      </c>
    </row>
    <row r="69" spans="1:21">
      <c r="A69" s="137" t="str">
        <f>IF(E69="","",VLOOKUP('Opći dio'!$C$3,'Opći dio'!$L$6:$U$137,10,FALSE))</f>
        <v/>
      </c>
      <c r="B69" s="137" t="str">
        <f>IF(E69="","",VLOOKUP('Opći dio'!$C$3,'Opći dio'!$L$6:$U$137,9,FALSE))</f>
        <v/>
      </c>
      <c r="C69" s="184" t="str">
        <f t="shared" si="5"/>
        <v/>
      </c>
      <c r="D69" s="136" t="str">
        <f t="shared" si="6"/>
        <v/>
      </c>
      <c r="E69" s="148"/>
      <c r="F69" s="188" t="str">
        <f t="shared" si="7"/>
        <v/>
      </c>
      <c r="G69" s="182"/>
      <c r="H69" s="182"/>
      <c r="I69" s="182"/>
      <c r="K69" s="139" t="str">
        <f t="shared" si="8"/>
        <v/>
      </c>
      <c r="L69" s="139" t="str">
        <f t="shared" si="9"/>
        <v/>
      </c>
      <c r="Q69" s="6">
        <v>663130000</v>
      </c>
      <c r="R69" s="6" t="s">
        <v>37</v>
      </c>
      <c r="S69" s="6">
        <v>61</v>
      </c>
      <c r="T69" s="6" t="s">
        <v>1885</v>
      </c>
      <c r="U69">
        <v>663</v>
      </c>
    </row>
    <row r="70" spans="1:21">
      <c r="A70" s="137" t="str">
        <f>IF(E70="","",VLOOKUP('Opći dio'!$C$3,'Opći dio'!$L$6:$U$137,10,FALSE))</f>
        <v/>
      </c>
      <c r="B70" s="137" t="str">
        <f>IF(E70="","",VLOOKUP('Opći dio'!$C$3,'Opći dio'!$L$6:$U$137,9,FALSE))</f>
        <v/>
      </c>
      <c r="C70" s="184" t="str">
        <f t="shared" si="5"/>
        <v/>
      </c>
      <c r="D70" s="136" t="str">
        <f t="shared" si="6"/>
        <v/>
      </c>
      <c r="E70" s="148"/>
      <c r="F70" s="188" t="str">
        <f t="shared" si="7"/>
        <v/>
      </c>
      <c r="G70" s="182"/>
      <c r="H70" s="182"/>
      <c r="I70" s="182"/>
      <c r="K70" s="139" t="str">
        <f t="shared" si="8"/>
        <v/>
      </c>
      <c r="L70" s="139" t="str">
        <f t="shared" si="9"/>
        <v/>
      </c>
      <c r="Q70" s="6">
        <v>663140000</v>
      </c>
      <c r="R70" s="6" t="s">
        <v>1886</v>
      </c>
      <c r="S70" s="6">
        <v>61</v>
      </c>
      <c r="T70" s="6" t="s">
        <v>1885</v>
      </c>
      <c r="U70">
        <v>663</v>
      </c>
    </row>
    <row r="71" spans="1:21">
      <c r="A71" s="137" t="str">
        <f>IF(E71="","",VLOOKUP('Opći dio'!$C$3,'Opći dio'!$L$6:$U$137,10,FALSE))</f>
        <v/>
      </c>
      <c r="B71" s="137" t="str">
        <f>IF(E71="","",VLOOKUP('Opći dio'!$C$3,'Opći dio'!$L$6:$U$137,9,FALSE))</f>
        <v/>
      </c>
      <c r="C71" s="184" t="str">
        <f t="shared" si="5"/>
        <v/>
      </c>
      <c r="D71" s="136" t="str">
        <f t="shared" si="6"/>
        <v/>
      </c>
      <c r="E71" s="148"/>
      <c r="F71" s="188" t="str">
        <f t="shared" si="7"/>
        <v/>
      </c>
      <c r="G71" s="182"/>
      <c r="H71" s="182"/>
      <c r="I71" s="182"/>
      <c r="K71" s="139" t="str">
        <f t="shared" si="8"/>
        <v/>
      </c>
      <c r="L71" s="139" t="str">
        <f t="shared" si="9"/>
        <v/>
      </c>
      <c r="Q71" s="6">
        <v>663210000</v>
      </c>
      <c r="R71" s="6" t="s">
        <v>1887</v>
      </c>
      <c r="S71" s="6">
        <v>61</v>
      </c>
      <c r="T71" s="6" t="s">
        <v>1885</v>
      </c>
      <c r="U71">
        <v>663</v>
      </c>
    </row>
    <row r="72" spans="1:21">
      <c r="A72" s="137" t="str">
        <f>IF(E72="","",VLOOKUP('Opći dio'!$C$3,'Opći dio'!$L$6:$U$137,10,FALSE))</f>
        <v/>
      </c>
      <c r="B72" s="137" t="str">
        <f>IF(E72="","",VLOOKUP('Opći dio'!$C$3,'Opći dio'!$L$6:$U$137,9,FALSE))</f>
        <v/>
      </c>
      <c r="C72" s="184" t="str">
        <f t="shared" si="5"/>
        <v/>
      </c>
      <c r="D72" s="136" t="str">
        <f t="shared" si="6"/>
        <v/>
      </c>
      <c r="E72" s="148"/>
      <c r="F72" s="188" t="str">
        <f t="shared" si="7"/>
        <v/>
      </c>
      <c r="G72" s="182"/>
      <c r="H72" s="182"/>
      <c r="I72" s="182"/>
      <c r="K72" s="139" t="str">
        <f t="shared" si="8"/>
        <v/>
      </c>
      <c r="L72" s="139" t="str">
        <f t="shared" si="9"/>
        <v/>
      </c>
      <c r="Q72" s="6">
        <v>663220000</v>
      </c>
      <c r="R72" s="6" t="s">
        <v>38</v>
      </c>
      <c r="S72" s="6">
        <v>61</v>
      </c>
      <c r="T72" s="6" t="s">
        <v>1885</v>
      </c>
      <c r="U72">
        <v>663</v>
      </c>
    </row>
    <row r="73" spans="1:21">
      <c r="A73" s="137" t="str">
        <f>IF(E73="","",VLOOKUP('Opći dio'!$C$3,'Opći dio'!$L$6:$U$137,10,FALSE))</f>
        <v/>
      </c>
      <c r="B73" s="137" t="str">
        <f>IF(E73="","",VLOOKUP('Opći dio'!$C$3,'Opći dio'!$L$6:$U$137,9,FALSE))</f>
        <v/>
      </c>
      <c r="C73" s="184" t="str">
        <f t="shared" si="5"/>
        <v/>
      </c>
      <c r="D73" s="136" t="str">
        <f t="shared" si="6"/>
        <v/>
      </c>
      <c r="E73" s="148"/>
      <c r="F73" s="188" t="str">
        <f t="shared" si="7"/>
        <v/>
      </c>
      <c r="G73" s="182"/>
      <c r="H73" s="182"/>
      <c r="I73" s="182"/>
      <c r="K73" s="139" t="str">
        <f t="shared" si="8"/>
        <v/>
      </c>
      <c r="L73" s="139" t="str">
        <f t="shared" si="9"/>
        <v/>
      </c>
      <c r="Q73" s="6">
        <v>663230000</v>
      </c>
      <c r="R73" s="6" t="s">
        <v>39</v>
      </c>
      <c r="S73" s="6">
        <v>61</v>
      </c>
      <c r="T73" s="6" t="s">
        <v>1885</v>
      </c>
      <c r="U73">
        <v>663</v>
      </c>
    </row>
    <row r="74" spans="1:21">
      <c r="A74" s="137" t="str">
        <f>IF(E74="","",VLOOKUP('Opći dio'!$C$3,'Opći dio'!$L$6:$U$137,10,FALSE))</f>
        <v/>
      </c>
      <c r="B74" s="137" t="str">
        <f>IF(E74="","",VLOOKUP('Opći dio'!$C$3,'Opći dio'!$L$6:$U$137,9,FALSE))</f>
        <v/>
      </c>
      <c r="C74" s="184" t="str">
        <f t="shared" si="5"/>
        <v/>
      </c>
      <c r="D74" s="136" t="str">
        <f t="shared" si="6"/>
        <v/>
      </c>
      <c r="E74" s="148"/>
      <c r="F74" s="188" t="str">
        <f t="shared" si="7"/>
        <v/>
      </c>
      <c r="G74" s="182"/>
      <c r="H74" s="182"/>
      <c r="I74" s="182"/>
      <c r="K74" s="139" t="str">
        <f t="shared" si="8"/>
        <v/>
      </c>
      <c r="L74" s="139" t="str">
        <f t="shared" si="9"/>
        <v/>
      </c>
      <c r="Q74" s="6">
        <v>663240000</v>
      </c>
      <c r="R74" s="6" t="s">
        <v>1888</v>
      </c>
      <c r="S74" s="6">
        <v>61</v>
      </c>
      <c r="T74" s="6" t="s">
        <v>1885</v>
      </c>
      <c r="U74">
        <v>663</v>
      </c>
    </row>
    <row r="75" spans="1:21">
      <c r="A75" s="137" t="str">
        <f>IF(E75="","",VLOOKUP('Opći dio'!$C$3,'Opći dio'!$L$6:$U$137,10,FALSE))</f>
        <v/>
      </c>
      <c r="B75" s="137" t="str">
        <f>IF(E75="","",VLOOKUP('Opći dio'!$C$3,'Opći dio'!$L$6:$U$137,9,FALSE))</f>
        <v/>
      </c>
      <c r="C75" s="184" t="str">
        <f t="shared" si="5"/>
        <v/>
      </c>
      <c r="D75" s="136" t="str">
        <f t="shared" si="6"/>
        <v/>
      </c>
      <c r="E75" s="148"/>
      <c r="F75" s="188" t="str">
        <f t="shared" si="7"/>
        <v/>
      </c>
      <c r="G75" s="182"/>
      <c r="H75" s="182"/>
      <c r="I75" s="182"/>
      <c r="K75" s="139" t="str">
        <f t="shared" si="8"/>
        <v/>
      </c>
      <c r="L75" s="139" t="str">
        <f t="shared" si="9"/>
        <v/>
      </c>
      <c r="Q75" s="6">
        <v>681910043</v>
      </c>
      <c r="R75" s="6" t="s">
        <v>239</v>
      </c>
      <c r="S75" s="6">
        <v>43</v>
      </c>
      <c r="T75" s="6" t="s">
        <v>100</v>
      </c>
      <c r="U75">
        <v>681</v>
      </c>
    </row>
    <row r="76" spans="1:21">
      <c r="A76" s="137" t="str">
        <f>IF(E76="","",VLOOKUP('Opći dio'!$C$3,'Opći dio'!$L$6:$U$137,10,FALSE))</f>
        <v/>
      </c>
      <c r="B76" s="137" t="str">
        <f>IF(E76="","",VLOOKUP('Opći dio'!$C$3,'Opći dio'!$L$6:$U$137,9,FALSE))</f>
        <v/>
      </c>
      <c r="C76" s="184" t="str">
        <f t="shared" si="5"/>
        <v/>
      </c>
      <c r="D76" s="136" t="str">
        <f t="shared" si="6"/>
        <v/>
      </c>
      <c r="E76" s="148"/>
      <c r="F76" s="188" t="str">
        <f t="shared" si="7"/>
        <v/>
      </c>
      <c r="G76" s="182"/>
      <c r="H76" s="182"/>
      <c r="I76" s="182"/>
      <c r="K76" s="139" t="str">
        <f t="shared" si="8"/>
        <v/>
      </c>
      <c r="L76" s="139" t="str">
        <f t="shared" si="9"/>
        <v/>
      </c>
      <c r="Q76" s="6">
        <v>683110031</v>
      </c>
      <c r="R76" s="6" t="s">
        <v>1889</v>
      </c>
      <c r="S76" s="6">
        <v>31</v>
      </c>
      <c r="T76" s="6" t="s">
        <v>95</v>
      </c>
      <c r="U76">
        <v>683</v>
      </c>
    </row>
    <row r="77" spans="1:21">
      <c r="A77" s="137" t="str">
        <f>IF(E77="","",VLOOKUP('Opći dio'!$C$3,'Opći dio'!$L$6:$U$137,10,FALSE))</f>
        <v/>
      </c>
      <c r="B77" s="137" t="str">
        <f>IF(E77="","",VLOOKUP('Opći dio'!$C$3,'Opći dio'!$L$6:$U$137,9,FALSE))</f>
        <v/>
      </c>
      <c r="C77" s="184" t="str">
        <f t="shared" si="5"/>
        <v/>
      </c>
      <c r="D77" s="136" t="str">
        <f t="shared" si="6"/>
        <v/>
      </c>
      <c r="E77" s="148"/>
      <c r="F77" s="188" t="str">
        <f t="shared" si="7"/>
        <v/>
      </c>
      <c r="G77" s="182"/>
      <c r="H77" s="182"/>
      <c r="I77" s="182"/>
      <c r="K77" s="139" t="str">
        <f t="shared" si="8"/>
        <v/>
      </c>
      <c r="L77" s="139" t="str">
        <f t="shared" si="9"/>
        <v/>
      </c>
      <c r="Q77" s="6">
        <v>683110043</v>
      </c>
      <c r="R77" s="6" t="s">
        <v>240</v>
      </c>
      <c r="S77" s="6">
        <v>43</v>
      </c>
      <c r="T77" s="6" t="s">
        <v>100</v>
      </c>
      <c r="U77">
        <v>683</v>
      </c>
    </row>
    <row r="78" spans="1:21">
      <c r="A78" s="137" t="str">
        <f>IF(E78="","",VLOOKUP('Opći dio'!$C$3,'Opći dio'!$L$6:$U$137,10,FALSE))</f>
        <v/>
      </c>
      <c r="B78" s="137" t="str">
        <f>IF(E78="","",VLOOKUP('Opći dio'!$C$3,'Opći dio'!$L$6:$U$137,9,FALSE))</f>
        <v/>
      </c>
      <c r="C78" s="184" t="str">
        <f t="shared" si="5"/>
        <v/>
      </c>
      <c r="D78" s="136" t="str">
        <f t="shared" si="6"/>
        <v/>
      </c>
      <c r="E78" s="148"/>
      <c r="F78" s="188" t="str">
        <f t="shared" si="7"/>
        <v/>
      </c>
      <c r="G78" s="182"/>
      <c r="H78" s="182"/>
      <c r="I78" s="182"/>
      <c r="K78" s="139" t="str">
        <f t="shared" si="8"/>
        <v/>
      </c>
      <c r="L78" s="139" t="str">
        <f t="shared" si="9"/>
        <v/>
      </c>
      <c r="Q78" s="6">
        <v>711110071</v>
      </c>
      <c r="R78" s="6" t="s">
        <v>1890</v>
      </c>
      <c r="S78" s="6">
        <v>71</v>
      </c>
      <c r="T78" s="6" t="s">
        <v>1891</v>
      </c>
      <c r="U78">
        <v>711</v>
      </c>
    </row>
    <row r="79" spans="1:21">
      <c r="A79" s="137" t="str">
        <f>IF(E79="","",VLOOKUP('Opći dio'!$C$3,'Opći dio'!$L$6:$U$137,10,FALSE))</f>
        <v/>
      </c>
      <c r="B79" s="137" t="str">
        <f>IF(E79="","",VLOOKUP('Opći dio'!$C$3,'Opći dio'!$L$6:$U$137,9,FALSE))</f>
        <v/>
      </c>
      <c r="C79" s="184" t="str">
        <f t="shared" si="5"/>
        <v/>
      </c>
      <c r="D79" s="136" t="str">
        <f t="shared" si="6"/>
        <v/>
      </c>
      <c r="E79" s="148"/>
      <c r="F79" s="188" t="str">
        <f t="shared" si="7"/>
        <v/>
      </c>
      <c r="G79" s="182"/>
      <c r="H79" s="182"/>
      <c r="I79" s="182"/>
      <c r="K79" s="139" t="str">
        <f t="shared" si="8"/>
        <v/>
      </c>
      <c r="L79" s="139" t="str">
        <f t="shared" si="9"/>
        <v/>
      </c>
      <c r="Q79" s="6">
        <v>711120071</v>
      </c>
      <c r="R79" s="6" t="s">
        <v>1892</v>
      </c>
      <c r="S79" s="6">
        <v>71</v>
      </c>
      <c r="T79" s="6" t="s">
        <v>1891</v>
      </c>
      <c r="U79">
        <v>711</v>
      </c>
    </row>
    <row r="80" spans="1:21">
      <c r="A80" s="137" t="str">
        <f>IF(E80="","",VLOOKUP('Opći dio'!$C$3,'Opći dio'!$L$6:$U$137,10,FALSE))</f>
        <v/>
      </c>
      <c r="B80" s="137" t="str">
        <f>IF(E80="","",VLOOKUP('Opći dio'!$C$3,'Opći dio'!$L$6:$U$137,9,FALSE))</f>
        <v/>
      </c>
      <c r="C80" s="184" t="str">
        <f t="shared" si="5"/>
        <v/>
      </c>
      <c r="D80" s="136" t="str">
        <f t="shared" si="6"/>
        <v/>
      </c>
      <c r="E80" s="148"/>
      <c r="F80" s="188" t="str">
        <f t="shared" si="7"/>
        <v/>
      </c>
      <c r="G80" s="182"/>
      <c r="H80" s="182"/>
      <c r="I80" s="182"/>
      <c r="K80" s="139" t="str">
        <f t="shared" si="8"/>
        <v/>
      </c>
      <c r="L80" s="139" t="str">
        <f t="shared" si="9"/>
        <v/>
      </c>
      <c r="Q80" s="6">
        <v>712410071</v>
      </c>
      <c r="R80" s="6" t="s">
        <v>242</v>
      </c>
      <c r="S80" s="6">
        <v>71</v>
      </c>
      <c r="T80" s="6" t="s">
        <v>1891</v>
      </c>
      <c r="U80">
        <v>712</v>
      </c>
    </row>
    <row r="81" spans="1:21">
      <c r="A81" s="137" t="str">
        <f>IF(E81="","",VLOOKUP('Opći dio'!$C$3,'Opći dio'!$L$6:$U$137,10,FALSE))</f>
        <v/>
      </c>
      <c r="B81" s="137" t="str">
        <f>IF(E81="","",VLOOKUP('Opći dio'!$C$3,'Opći dio'!$L$6:$U$137,9,FALSE))</f>
        <v/>
      </c>
      <c r="C81" s="184" t="str">
        <f t="shared" si="5"/>
        <v/>
      </c>
      <c r="D81" s="136" t="str">
        <f t="shared" si="6"/>
        <v/>
      </c>
      <c r="E81" s="148"/>
      <c r="F81" s="188" t="str">
        <f t="shared" si="7"/>
        <v/>
      </c>
      <c r="G81" s="182"/>
      <c r="H81" s="182"/>
      <c r="I81" s="182"/>
      <c r="K81" s="139" t="str">
        <f t="shared" si="8"/>
        <v/>
      </c>
      <c r="L81" s="139" t="str">
        <f t="shared" si="9"/>
        <v/>
      </c>
      <c r="Q81" s="6">
        <v>712490071</v>
      </c>
      <c r="R81" s="6" t="s">
        <v>243</v>
      </c>
      <c r="S81" s="6">
        <v>71</v>
      </c>
      <c r="T81" s="6" t="s">
        <v>1891</v>
      </c>
      <c r="U81">
        <v>712</v>
      </c>
    </row>
    <row r="82" spans="1:21">
      <c r="A82" s="137" t="str">
        <f>IF(E82="","",VLOOKUP('Opći dio'!$C$3,'Opći dio'!$L$6:$U$137,10,FALSE))</f>
        <v/>
      </c>
      <c r="B82" s="137" t="str">
        <f>IF(E82="","",VLOOKUP('Opći dio'!$C$3,'Opći dio'!$L$6:$U$137,9,FALSE))</f>
        <v/>
      </c>
      <c r="C82" s="184" t="str">
        <f t="shared" si="5"/>
        <v/>
      </c>
      <c r="D82" s="136" t="str">
        <f t="shared" si="6"/>
        <v/>
      </c>
      <c r="E82" s="148"/>
      <c r="F82" s="188" t="str">
        <f t="shared" si="7"/>
        <v/>
      </c>
      <c r="G82" s="182"/>
      <c r="H82" s="182"/>
      <c r="I82" s="182"/>
      <c r="K82" s="139" t="str">
        <f t="shared" si="8"/>
        <v/>
      </c>
      <c r="L82" s="139" t="str">
        <f t="shared" si="9"/>
        <v/>
      </c>
      <c r="Q82" s="6">
        <v>721110071</v>
      </c>
      <c r="R82" s="6" t="s">
        <v>244</v>
      </c>
      <c r="S82" s="6">
        <v>71</v>
      </c>
      <c r="T82" s="6" t="s">
        <v>1891</v>
      </c>
      <c r="U82">
        <v>721</v>
      </c>
    </row>
    <row r="83" spans="1:21">
      <c r="A83" s="137" t="str">
        <f>IF(E83="","",VLOOKUP('Opći dio'!$C$3,'Opći dio'!$L$6:$U$137,10,FALSE))</f>
        <v/>
      </c>
      <c r="B83" s="137" t="str">
        <f>IF(E83="","",VLOOKUP('Opći dio'!$C$3,'Opći dio'!$L$6:$U$137,9,FALSE))</f>
        <v/>
      </c>
      <c r="C83" s="184" t="str">
        <f t="shared" si="5"/>
        <v/>
      </c>
      <c r="D83" s="136" t="str">
        <f t="shared" si="6"/>
        <v/>
      </c>
      <c r="E83" s="148"/>
      <c r="F83" s="188" t="str">
        <f t="shared" si="7"/>
        <v/>
      </c>
      <c r="G83" s="182"/>
      <c r="H83" s="182"/>
      <c r="I83" s="182"/>
      <c r="K83" s="139" t="str">
        <f t="shared" si="8"/>
        <v/>
      </c>
      <c r="L83" s="139" t="str">
        <f t="shared" si="9"/>
        <v/>
      </c>
      <c r="Q83" s="6">
        <v>721190071</v>
      </c>
      <c r="R83" s="6" t="s">
        <v>245</v>
      </c>
      <c r="S83" s="6">
        <v>71</v>
      </c>
      <c r="T83" s="6" t="s">
        <v>1891</v>
      </c>
      <c r="U83">
        <v>721</v>
      </c>
    </row>
    <row r="84" spans="1:21">
      <c r="A84" s="137" t="str">
        <f>IF(E84="","",VLOOKUP('Opći dio'!$C$3,'Opći dio'!$L$6:$U$137,10,FALSE))</f>
        <v/>
      </c>
      <c r="B84" s="137" t="str">
        <f>IF(E84="","",VLOOKUP('Opći dio'!$C$3,'Opći dio'!$L$6:$U$137,9,FALSE))</f>
        <v/>
      </c>
      <c r="C84" s="184" t="str">
        <f t="shared" si="5"/>
        <v/>
      </c>
      <c r="D84" s="136" t="str">
        <f t="shared" si="6"/>
        <v/>
      </c>
      <c r="E84" s="148"/>
      <c r="F84" s="188" t="str">
        <f t="shared" si="7"/>
        <v/>
      </c>
      <c r="G84" s="182"/>
      <c r="H84" s="182"/>
      <c r="I84" s="182"/>
      <c r="K84" s="139" t="str">
        <f t="shared" si="8"/>
        <v/>
      </c>
      <c r="L84" s="139" t="str">
        <f t="shared" si="9"/>
        <v/>
      </c>
      <c r="Q84" s="6">
        <v>721230071</v>
      </c>
      <c r="R84" s="6" t="s">
        <v>246</v>
      </c>
      <c r="S84" s="6">
        <v>71</v>
      </c>
      <c r="T84" s="6" t="s">
        <v>1891</v>
      </c>
      <c r="U84">
        <v>721</v>
      </c>
    </row>
    <row r="85" spans="1:21">
      <c r="A85" s="137" t="str">
        <f>IF(E85="","",VLOOKUP('Opći dio'!$C$3,'Opći dio'!$L$6:$U$137,10,FALSE))</f>
        <v/>
      </c>
      <c r="B85" s="137" t="str">
        <f>IF(E85="","",VLOOKUP('Opći dio'!$C$3,'Opći dio'!$L$6:$U$137,9,FALSE))</f>
        <v/>
      </c>
      <c r="C85" s="184" t="str">
        <f t="shared" si="5"/>
        <v/>
      </c>
      <c r="D85" s="136" t="str">
        <f t="shared" si="6"/>
        <v/>
      </c>
      <c r="E85" s="148"/>
      <c r="F85" s="188" t="str">
        <f t="shared" si="7"/>
        <v/>
      </c>
      <c r="G85" s="182"/>
      <c r="H85" s="182"/>
      <c r="I85" s="182"/>
      <c r="K85" s="139" t="str">
        <f t="shared" si="8"/>
        <v/>
      </c>
      <c r="L85" s="139" t="str">
        <f t="shared" si="9"/>
        <v/>
      </c>
      <c r="Q85" s="6">
        <v>721290071</v>
      </c>
      <c r="R85" s="6" t="s">
        <v>247</v>
      </c>
      <c r="S85" s="6">
        <v>71</v>
      </c>
      <c r="T85" s="6" t="s">
        <v>1891</v>
      </c>
      <c r="U85">
        <v>721</v>
      </c>
    </row>
    <row r="86" spans="1:21">
      <c r="A86" s="137" t="str">
        <f>IF(E86="","",VLOOKUP('Opći dio'!$C$3,'Opći dio'!$L$6:$U$137,10,FALSE))</f>
        <v/>
      </c>
      <c r="B86" s="137" t="str">
        <f>IF(E86="","",VLOOKUP('Opći dio'!$C$3,'Opći dio'!$L$6:$U$137,9,FALSE))</f>
        <v/>
      </c>
      <c r="C86" s="184" t="str">
        <f t="shared" si="5"/>
        <v/>
      </c>
      <c r="D86" s="136" t="str">
        <f t="shared" si="6"/>
        <v/>
      </c>
      <c r="E86" s="148"/>
      <c r="F86" s="188" t="str">
        <f t="shared" si="7"/>
        <v/>
      </c>
      <c r="G86" s="182"/>
      <c r="H86" s="182"/>
      <c r="I86" s="182"/>
      <c r="K86" s="139" t="str">
        <f t="shared" si="8"/>
        <v/>
      </c>
      <c r="L86" s="139" t="str">
        <f t="shared" si="9"/>
        <v/>
      </c>
      <c r="Q86" s="6">
        <v>722110071</v>
      </c>
      <c r="R86" s="6" t="s">
        <v>248</v>
      </c>
      <c r="S86" s="6">
        <v>71</v>
      </c>
      <c r="T86" s="6" t="s">
        <v>1891</v>
      </c>
      <c r="U86">
        <v>722</v>
      </c>
    </row>
    <row r="87" spans="1:21">
      <c r="A87" s="137" t="str">
        <f>IF(E87="","",VLOOKUP('Opći dio'!$C$3,'Opći dio'!$L$6:$U$137,10,FALSE))</f>
        <v/>
      </c>
      <c r="B87" s="137" t="str">
        <f>IF(E87="","",VLOOKUP('Opći dio'!$C$3,'Opći dio'!$L$6:$U$137,9,FALSE))</f>
        <v/>
      </c>
      <c r="C87" s="184" t="str">
        <f t="shared" si="5"/>
        <v/>
      </c>
      <c r="D87" s="136" t="str">
        <f t="shared" si="6"/>
        <v/>
      </c>
      <c r="E87" s="148"/>
      <c r="F87" s="188" t="str">
        <f t="shared" si="7"/>
        <v/>
      </c>
      <c r="G87" s="182"/>
      <c r="H87" s="182"/>
      <c r="I87" s="182"/>
      <c r="K87" s="139" t="str">
        <f t="shared" si="8"/>
        <v/>
      </c>
      <c r="L87" s="139" t="str">
        <f t="shared" si="9"/>
        <v/>
      </c>
      <c r="Q87" s="6">
        <v>722120071</v>
      </c>
      <c r="R87" s="6" t="s">
        <v>1893</v>
      </c>
      <c r="S87" s="6">
        <v>71</v>
      </c>
      <c r="T87" s="6" t="s">
        <v>1891</v>
      </c>
      <c r="U87">
        <v>722</v>
      </c>
    </row>
    <row r="88" spans="1:21">
      <c r="A88" s="137" t="str">
        <f>IF(E88="","",VLOOKUP('Opći dio'!$C$3,'Opći dio'!$L$6:$U$137,10,FALSE))</f>
        <v/>
      </c>
      <c r="B88" s="137" t="str">
        <f>IF(E88="","",VLOOKUP('Opći dio'!$C$3,'Opći dio'!$L$6:$U$137,9,FALSE))</f>
        <v/>
      </c>
      <c r="C88" s="184" t="str">
        <f t="shared" si="5"/>
        <v/>
      </c>
      <c r="D88" s="136" t="str">
        <f t="shared" si="6"/>
        <v/>
      </c>
      <c r="E88" s="148"/>
      <c r="F88" s="188" t="str">
        <f t="shared" si="7"/>
        <v/>
      </c>
      <c r="G88" s="182"/>
      <c r="H88" s="182"/>
      <c r="I88" s="182"/>
      <c r="K88" s="139" t="str">
        <f t="shared" si="8"/>
        <v/>
      </c>
      <c r="L88" s="139" t="str">
        <f t="shared" si="9"/>
        <v/>
      </c>
      <c r="Q88" s="6">
        <v>722190071</v>
      </c>
      <c r="R88" s="6" t="s">
        <v>249</v>
      </c>
      <c r="S88" s="6">
        <v>71</v>
      </c>
      <c r="T88" s="6" t="s">
        <v>1891</v>
      </c>
      <c r="U88">
        <v>722</v>
      </c>
    </row>
    <row r="89" spans="1:21">
      <c r="A89" s="137" t="str">
        <f>IF(E89="","",VLOOKUP('Opći dio'!$C$3,'Opći dio'!$L$6:$U$137,10,FALSE))</f>
        <v/>
      </c>
      <c r="B89" s="137" t="str">
        <f>IF(E89="","",VLOOKUP('Opći dio'!$C$3,'Opći dio'!$L$6:$U$137,9,FALSE))</f>
        <v/>
      </c>
      <c r="C89" s="184" t="str">
        <f t="shared" si="5"/>
        <v/>
      </c>
      <c r="D89" s="136" t="str">
        <f t="shared" si="6"/>
        <v/>
      </c>
      <c r="E89" s="148"/>
      <c r="F89" s="188" t="str">
        <f t="shared" si="7"/>
        <v/>
      </c>
      <c r="G89" s="182"/>
      <c r="H89" s="182"/>
      <c r="I89" s="182"/>
      <c r="K89" s="139" t="str">
        <f t="shared" si="8"/>
        <v/>
      </c>
      <c r="L89" s="139" t="str">
        <f t="shared" si="9"/>
        <v/>
      </c>
      <c r="Q89" s="6">
        <v>722620071</v>
      </c>
      <c r="R89" s="6" t="s">
        <v>250</v>
      </c>
      <c r="S89" s="6">
        <v>71</v>
      </c>
      <c r="T89" s="6" t="s">
        <v>1891</v>
      </c>
      <c r="U89">
        <v>722</v>
      </c>
    </row>
    <row r="90" spans="1:21">
      <c r="A90" s="137" t="str">
        <f>IF(E90="","",VLOOKUP('Opći dio'!$C$3,'Opći dio'!$L$6:$U$137,10,FALSE))</f>
        <v/>
      </c>
      <c r="B90" s="137" t="str">
        <f>IF(E90="","",VLOOKUP('Opći dio'!$C$3,'Opći dio'!$L$6:$U$137,9,FALSE))</f>
        <v/>
      </c>
      <c r="C90" s="184" t="str">
        <f t="shared" si="5"/>
        <v/>
      </c>
      <c r="D90" s="136" t="str">
        <f t="shared" si="6"/>
        <v/>
      </c>
      <c r="E90" s="148"/>
      <c r="F90" s="188" t="str">
        <f t="shared" si="7"/>
        <v/>
      </c>
      <c r="G90" s="182"/>
      <c r="H90" s="182"/>
      <c r="I90" s="182"/>
      <c r="K90" s="139" t="str">
        <f t="shared" si="8"/>
        <v/>
      </c>
      <c r="L90" s="139" t="str">
        <f t="shared" si="9"/>
        <v/>
      </c>
      <c r="Q90" s="6">
        <v>722720071</v>
      </c>
      <c r="R90" s="6" t="s">
        <v>1998</v>
      </c>
      <c r="S90" s="6">
        <v>71</v>
      </c>
      <c r="T90" s="6" t="s">
        <v>177</v>
      </c>
      <c r="U90">
        <v>722</v>
      </c>
    </row>
    <row r="91" spans="1:21">
      <c r="A91" s="137" t="str">
        <f>IF(E91="","",VLOOKUP('Opći dio'!$C$3,'Opći dio'!$L$6:$U$137,10,FALSE))</f>
        <v/>
      </c>
      <c r="B91" s="137" t="str">
        <f>IF(E91="","",VLOOKUP('Opći dio'!$C$3,'Opći dio'!$L$6:$U$137,9,FALSE))</f>
        <v/>
      </c>
      <c r="C91" s="184" t="str">
        <f t="shared" si="5"/>
        <v/>
      </c>
      <c r="D91" s="136" t="str">
        <f t="shared" si="6"/>
        <v/>
      </c>
      <c r="E91" s="148"/>
      <c r="F91" s="188" t="str">
        <f t="shared" si="7"/>
        <v/>
      </c>
      <c r="G91" s="182"/>
      <c r="H91" s="182"/>
      <c r="I91" s="182"/>
      <c r="K91" s="139" t="str">
        <f t="shared" si="8"/>
        <v/>
      </c>
      <c r="L91" s="139" t="str">
        <f t="shared" si="9"/>
        <v/>
      </c>
      <c r="Q91" s="6">
        <v>722730071</v>
      </c>
      <c r="R91" s="6" t="s">
        <v>251</v>
      </c>
      <c r="S91" s="6">
        <v>71</v>
      </c>
      <c r="T91" s="6" t="s">
        <v>1891</v>
      </c>
      <c r="U91">
        <v>722</v>
      </c>
    </row>
    <row r="92" spans="1:21">
      <c r="A92" s="137" t="str">
        <f>IF(E92="","",VLOOKUP('Opći dio'!$C$3,'Opći dio'!$L$6:$U$137,10,FALSE))</f>
        <v/>
      </c>
      <c r="B92" s="137" t="str">
        <f>IF(E92="","",VLOOKUP('Opći dio'!$C$3,'Opći dio'!$L$6:$U$137,9,FALSE))</f>
        <v/>
      </c>
      <c r="C92" s="184" t="str">
        <f t="shared" si="5"/>
        <v/>
      </c>
      <c r="D92" s="136" t="str">
        <f t="shared" si="6"/>
        <v/>
      </c>
      <c r="E92" s="148"/>
      <c r="F92" s="188" t="str">
        <f t="shared" si="7"/>
        <v/>
      </c>
      <c r="G92" s="182"/>
      <c r="H92" s="182"/>
      <c r="I92" s="182"/>
      <c r="K92" s="139" t="str">
        <f t="shared" si="8"/>
        <v/>
      </c>
      <c r="L92" s="139" t="str">
        <f t="shared" si="9"/>
        <v/>
      </c>
      <c r="Q92" s="6">
        <v>723110071</v>
      </c>
      <c r="R92" s="6" t="s">
        <v>252</v>
      </c>
      <c r="S92" s="6">
        <v>71</v>
      </c>
      <c r="T92" s="6" t="s">
        <v>1891</v>
      </c>
      <c r="U92">
        <v>723</v>
      </c>
    </row>
    <row r="93" spans="1:21">
      <c r="A93" s="137" t="str">
        <f>IF(E93="","",VLOOKUP('Opći dio'!$C$3,'Opći dio'!$L$6:$U$137,10,FALSE))</f>
        <v/>
      </c>
      <c r="B93" s="137" t="str">
        <f>IF(E93="","",VLOOKUP('Opći dio'!$C$3,'Opći dio'!$L$6:$U$137,9,FALSE))</f>
        <v/>
      </c>
      <c r="C93" s="184" t="str">
        <f t="shared" si="5"/>
        <v/>
      </c>
      <c r="D93" s="136" t="str">
        <f t="shared" si="6"/>
        <v/>
      </c>
      <c r="E93" s="148"/>
      <c r="F93" s="188" t="str">
        <f t="shared" si="7"/>
        <v/>
      </c>
      <c r="G93" s="182"/>
      <c r="H93" s="182"/>
      <c r="I93" s="182"/>
      <c r="K93" s="139" t="str">
        <f t="shared" si="8"/>
        <v/>
      </c>
      <c r="L93" s="139" t="str">
        <f t="shared" si="9"/>
        <v/>
      </c>
      <c r="Q93" s="6">
        <v>723130071</v>
      </c>
      <c r="R93" s="6" t="s">
        <v>1894</v>
      </c>
      <c r="S93" s="6">
        <v>71</v>
      </c>
      <c r="T93" s="6" t="s">
        <v>1891</v>
      </c>
      <c r="U93">
        <v>723</v>
      </c>
    </row>
    <row r="94" spans="1:21">
      <c r="A94" s="137" t="str">
        <f>IF(E94="","",VLOOKUP('Opći dio'!$C$3,'Opći dio'!$L$6:$U$137,10,FALSE))</f>
        <v/>
      </c>
      <c r="B94" s="137" t="str">
        <f>IF(E94="","",VLOOKUP('Opći dio'!$C$3,'Opći dio'!$L$6:$U$137,9,FALSE))</f>
        <v/>
      </c>
      <c r="C94" s="184" t="str">
        <f t="shared" si="5"/>
        <v/>
      </c>
      <c r="D94" s="136" t="str">
        <f t="shared" si="6"/>
        <v/>
      </c>
      <c r="E94" s="148"/>
      <c r="F94" s="188" t="str">
        <f t="shared" si="7"/>
        <v/>
      </c>
      <c r="G94" s="182"/>
      <c r="H94" s="182"/>
      <c r="I94" s="182"/>
      <c r="K94" s="139" t="str">
        <f t="shared" si="8"/>
        <v/>
      </c>
      <c r="L94" s="139" t="str">
        <f t="shared" si="9"/>
        <v/>
      </c>
      <c r="Q94" s="6">
        <v>723140071</v>
      </c>
      <c r="R94" s="6" t="s">
        <v>1895</v>
      </c>
      <c r="S94" s="6">
        <v>71</v>
      </c>
      <c r="T94" s="6" t="s">
        <v>1891</v>
      </c>
      <c r="U94">
        <v>723</v>
      </c>
    </row>
    <row r="95" spans="1:21">
      <c r="A95" s="137" t="str">
        <f>IF(E95="","",VLOOKUP('Opći dio'!$C$3,'Opći dio'!$L$6:$U$137,10,FALSE))</f>
        <v/>
      </c>
      <c r="B95" s="137" t="str">
        <f>IF(E95="","",VLOOKUP('Opći dio'!$C$3,'Opći dio'!$L$6:$U$137,9,FALSE))</f>
        <v/>
      </c>
      <c r="C95" s="184" t="str">
        <f t="shared" si="5"/>
        <v/>
      </c>
      <c r="D95" s="136" t="str">
        <f t="shared" si="6"/>
        <v/>
      </c>
      <c r="E95" s="148"/>
      <c r="F95" s="188" t="str">
        <f t="shared" si="7"/>
        <v/>
      </c>
      <c r="G95" s="182"/>
      <c r="H95" s="182"/>
      <c r="I95" s="182"/>
      <c r="K95" s="139" t="str">
        <f t="shared" si="8"/>
        <v/>
      </c>
      <c r="L95" s="139" t="str">
        <f t="shared" si="9"/>
        <v/>
      </c>
      <c r="Q95" s="6">
        <v>723150071</v>
      </c>
      <c r="R95" s="6" t="s">
        <v>1896</v>
      </c>
      <c r="S95" s="6">
        <v>71</v>
      </c>
      <c r="T95" s="6" t="s">
        <v>1891</v>
      </c>
      <c r="U95">
        <v>723</v>
      </c>
    </row>
    <row r="96" spans="1:21">
      <c r="A96" s="137" t="str">
        <f>IF(E96="","",VLOOKUP('Opći dio'!$C$3,'Opći dio'!$L$6:$U$137,10,FALSE))</f>
        <v/>
      </c>
      <c r="B96" s="137" t="str">
        <f>IF(E96="","",VLOOKUP('Opći dio'!$C$3,'Opći dio'!$L$6:$U$137,9,FALSE))</f>
        <v/>
      </c>
      <c r="C96" s="184" t="str">
        <f t="shared" si="5"/>
        <v/>
      </c>
      <c r="D96" s="136" t="str">
        <f t="shared" si="6"/>
        <v/>
      </c>
      <c r="E96" s="148"/>
      <c r="F96" s="188" t="str">
        <f t="shared" si="7"/>
        <v/>
      </c>
      <c r="G96" s="182"/>
      <c r="H96" s="182"/>
      <c r="I96" s="182"/>
      <c r="K96" s="139" t="str">
        <f t="shared" si="8"/>
        <v/>
      </c>
      <c r="L96" s="139" t="str">
        <f t="shared" si="9"/>
        <v/>
      </c>
      <c r="Q96" s="6">
        <v>723160071</v>
      </c>
      <c r="R96" s="6" t="s">
        <v>1897</v>
      </c>
      <c r="S96" s="6">
        <v>71</v>
      </c>
      <c r="T96" s="6" t="s">
        <v>1891</v>
      </c>
      <c r="U96">
        <v>723</v>
      </c>
    </row>
    <row r="97" spans="1:21">
      <c r="A97" s="137" t="str">
        <f>IF(E97="","",VLOOKUP('Opći dio'!$C$3,'Opći dio'!$L$6:$U$137,10,FALSE))</f>
        <v/>
      </c>
      <c r="B97" s="137" t="str">
        <f>IF(E97="","",VLOOKUP('Opći dio'!$C$3,'Opći dio'!$L$6:$U$137,9,FALSE))</f>
        <v/>
      </c>
      <c r="C97" s="184" t="str">
        <f t="shared" si="5"/>
        <v/>
      </c>
      <c r="D97" s="136" t="str">
        <f t="shared" si="6"/>
        <v/>
      </c>
      <c r="E97" s="148"/>
      <c r="F97" s="188" t="str">
        <f t="shared" si="7"/>
        <v/>
      </c>
      <c r="G97" s="182"/>
      <c r="H97" s="182"/>
      <c r="I97" s="182"/>
      <c r="K97" s="139" t="str">
        <f t="shared" si="8"/>
        <v/>
      </c>
      <c r="L97" s="139" t="str">
        <f t="shared" si="9"/>
        <v/>
      </c>
      <c r="Q97" s="6">
        <v>723190071</v>
      </c>
      <c r="R97" s="6" t="s">
        <v>1999</v>
      </c>
      <c r="S97" s="6">
        <v>71</v>
      </c>
      <c r="T97" s="6" t="s">
        <v>177</v>
      </c>
      <c r="U97">
        <v>723</v>
      </c>
    </row>
    <row r="98" spans="1:21">
      <c r="A98" s="137" t="str">
        <f>IF(E98="","",VLOOKUP('Opći dio'!$C$3,'Opći dio'!$L$6:$U$137,10,FALSE))</f>
        <v/>
      </c>
      <c r="B98" s="137" t="str">
        <f>IF(E98="","",VLOOKUP('Opći dio'!$C$3,'Opći dio'!$L$6:$U$137,9,FALSE))</f>
        <v/>
      </c>
      <c r="C98" s="184" t="str">
        <f t="shared" si="5"/>
        <v/>
      </c>
      <c r="D98" s="136" t="str">
        <f t="shared" si="6"/>
        <v/>
      </c>
      <c r="E98" s="148"/>
      <c r="F98" s="188" t="str">
        <f t="shared" si="7"/>
        <v/>
      </c>
      <c r="G98" s="182"/>
      <c r="H98" s="182"/>
      <c r="I98" s="182"/>
      <c r="K98" s="139" t="str">
        <f t="shared" si="8"/>
        <v/>
      </c>
      <c r="L98" s="139" t="str">
        <f t="shared" si="9"/>
        <v/>
      </c>
      <c r="Q98" s="6">
        <v>723310071</v>
      </c>
      <c r="R98" s="6" t="s">
        <v>1898</v>
      </c>
      <c r="S98" s="6">
        <v>71</v>
      </c>
      <c r="T98" s="6" t="s">
        <v>1891</v>
      </c>
      <c r="U98">
        <v>723</v>
      </c>
    </row>
    <row r="99" spans="1:21">
      <c r="A99" s="137" t="str">
        <f>IF(E99="","",VLOOKUP('Opći dio'!$C$3,'Opći dio'!$L$6:$U$137,10,FALSE))</f>
        <v/>
      </c>
      <c r="B99" s="137" t="str">
        <f>IF(E99="","",VLOOKUP('Opći dio'!$C$3,'Opći dio'!$L$6:$U$137,9,FALSE))</f>
        <v/>
      </c>
      <c r="C99" s="184" t="str">
        <f t="shared" si="5"/>
        <v/>
      </c>
      <c r="D99" s="136" t="str">
        <f t="shared" si="6"/>
        <v/>
      </c>
      <c r="E99" s="148"/>
      <c r="F99" s="188" t="str">
        <f t="shared" si="7"/>
        <v/>
      </c>
      <c r="G99" s="182"/>
      <c r="H99" s="182"/>
      <c r="I99" s="182"/>
      <c r="K99" s="139" t="str">
        <f t="shared" si="8"/>
        <v/>
      </c>
      <c r="L99" s="139" t="str">
        <f t="shared" si="9"/>
        <v/>
      </c>
      <c r="Q99" s="6">
        <v>725210071</v>
      </c>
      <c r="R99" s="6" t="s">
        <v>253</v>
      </c>
      <c r="S99" s="6">
        <v>71</v>
      </c>
      <c r="T99" s="6" t="s">
        <v>1891</v>
      </c>
      <c r="U99">
        <v>725</v>
      </c>
    </row>
    <row r="100" spans="1:21">
      <c r="A100" s="137" t="str">
        <f>IF(E100="","",VLOOKUP('Opći dio'!$C$3,'Opći dio'!$L$6:$U$137,10,FALSE))</f>
        <v/>
      </c>
      <c r="B100" s="137" t="str">
        <f>IF(E100="","",VLOOKUP('Opći dio'!$C$3,'Opći dio'!$L$6:$U$137,9,FALSE))</f>
        <v/>
      </c>
      <c r="C100" s="184" t="str">
        <f t="shared" si="5"/>
        <v/>
      </c>
      <c r="D100" s="136" t="str">
        <f t="shared" si="6"/>
        <v/>
      </c>
      <c r="E100" s="148"/>
      <c r="F100" s="188" t="str">
        <f t="shared" si="7"/>
        <v/>
      </c>
      <c r="G100" s="182"/>
      <c r="H100" s="182"/>
      <c r="I100" s="182"/>
      <c r="K100" s="139" t="str">
        <f t="shared" si="8"/>
        <v/>
      </c>
      <c r="L100" s="139" t="str">
        <f t="shared" si="9"/>
        <v/>
      </c>
      <c r="Q100" s="6">
        <v>818110043</v>
      </c>
      <c r="R100" s="6" t="s">
        <v>2000</v>
      </c>
      <c r="S100" s="6">
        <v>43</v>
      </c>
      <c r="T100" s="6" t="s">
        <v>100</v>
      </c>
      <c r="U100">
        <v>818</v>
      </c>
    </row>
    <row r="101" spans="1:21">
      <c r="A101" s="137" t="str">
        <f>IF(E101="","",VLOOKUP('Opći dio'!$C$3,'Opći dio'!$L$6:$U$137,10,FALSE))</f>
        <v/>
      </c>
      <c r="B101" s="137" t="str">
        <f>IF(E101="","",VLOOKUP('Opći dio'!$C$3,'Opći dio'!$L$6:$U$137,9,FALSE))</f>
        <v/>
      </c>
      <c r="C101" s="184" t="str">
        <f t="shared" si="5"/>
        <v/>
      </c>
      <c r="D101" s="136" t="str">
        <f t="shared" si="6"/>
        <v/>
      </c>
      <c r="E101" s="148"/>
      <c r="F101" s="188" t="str">
        <f t="shared" si="7"/>
        <v/>
      </c>
      <c r="G101" s="182"/>
      <c r="H101" s="182"/>
      <c r="I101" s="182"/>
      <c r="K101" s="139" t="str">
        <f t="shared" si="8"/>
        <v/>
      </c>
      <c r="L101" s="139" t="str">
        <f t="shared" si="9"/>
        <v/>
      </c>
      <c r="Q101" s="6">
        <v>818120043</v>
      </c>
      <c r="R101" s="6" t="s">
        <v>1372</v>
      </c>
      <c r="S101" s="6">
        <v>43</v>
      </c>
      <c r="T101" s="6" t="s">
        <v>100</v>
      </c>
      <c r="U101">
        <v>818</v>
      </c>
    </row>
    <row r="102" spans="1:21">
      <c r="A102" s="137" t="str">
        <f>IF(E102="","",VLOOKUP('Opći dio'!$C$3,'Opći dio'!$L$6:$U$137,10,FALSE))</f>
        <v/>
      </c>
      <c r="B102" s="137" t="str">
        <f>IF(E102="","",VLOOKUP('Opći dio'!$C$3,'Opći dio'!$L$6:$U$137,9,FALSE))</f>
        <v/>
      </c>
      <c r="C102" s="184" t="str">
        <f t="shared" si="5"/>
        <v/>
      </c>
      <c r="D102" s="136" t="str">
        <f t="shared" si="6"/>
        <v/>
      </c>
      <c r="E102" s="148"/>
      <c r="F102" s="188" t="str">
        <f t="shared" si="7"/>
        <v/>
      </c>
      <c r="G102" s="182"/>
      <c r="H102" s="182"/>
      <c r="I102" s="182"/>
      <c r="K102" s="139" t="str">
        <f t="shared" si="8"/>
        <v/>
      </c>
      <c r="L102" s="139" t="str">
        <f t="shared" si="9"/>
        <v/>
      </c>
      <c r="Q102" s="6">
        <v>832120043</v>
      </c>
      <c r="R102" s="6" t="s">
        <v>1373</v>
      </c>
      <c r="S102" s="6">
        <v>43</v>
      </c>
      <c r="T102" s="6" t="s">
        <v>100</v>
      </c>
      <c r="U102">
        <v>832</v>
      </c>
    </row>
    <row r="103" spans="1:21">
      <c r="A103" s="137" t="str">
        <f>IF(E103="","",VLOOKUP('Opći dio'!$C$3,'Opći dio'!$L$6:$U$137,10,FALSE))</f>
        <v/>
      </c>
      <c r="B103" s="137" t="str">
        <f>IF(E103="","",VLOOKUP('Opći dio'!$C$3,'Opći dio'!$L$6:$U$137,9,FALSE))</f>
        <v/>
      </c>
      <c r="C103" s="184" t="str">
        <f t="shared" si="5"/>
        <v/>
      </c>
      <c r="D103" s="136" t="str">
        <f t="shared" si="6"/>
        <v/>
      </c>
      <c r="E103" s="148"/>
      <c r="F103" s="188" t="str">
        <f t="shared" si="7"/>
        <v/>
      </c>
      <c r="G103" s="182"/>
      <c r="H103" s="182"/>
      <c r="I103" s="182"/>
      <c r="K103" s="139" t="str">
        <f t="shared" si="8"/>
        <v/>
      </c>
      <c r="L103" s="139" t="str">
        <f t="shared" si="9"/>
        <v/>
      </c>
      <c r="Q103" s="6">
        <v>833130043</v>
      </c>
      <c r="R103" s="6" t="s">
        <v>1900</v>
      </c>
      <c r="S103" s="6">
        <v>43</v>
      </c>
      <c r="T103" s="6" t="s">
        <v>100</v>
      </c>
      <c r="U103">
        <v>833</v>
      </c>
    </row>
    <row r="104" spans="1:21">
      <c r="A104" s="137" t="str">
        <f>IF(E104="","",VLOOKUP('Opći dio'!$C$3,'Opći dio'!$L$6:$U$137,10,FALSE))</f>
        <v/>
      </c>
      <c r="B104" s="137" t="str">
        <f>IF(E104="","",VLOOKUP('Opći dio'!$C$3,'Opći dio'!$L$6:$U$137,9,FALSE))</f>
        <v/>
      </c>
      <c r="C104" s="184" t="str">
        <f t="shared" si="5"/>
        <v/>
      </c>
      <c r="D104" s="136" t="str">
        <f t="shared" si="6"/>
        <v/>
      </c>
      <c r="E104" s="148"/>
      <c r="F104" s="188" t="str">
        <f t="shared" si="7"/>
        <v/>
      </c>
      <c r="G104" s="182"/>
      <c r="H104" s="182"/>
      <c r="I104" s="182"/>
      <c r="K104" s="139" t="str">
        <f t="shared" si="8"/>
        <v/>
      </c>
      <c r="L104" s="139" t="str">
        <f t="shared" si="9"/>
        <v/>
      </c>
      <c r="Q104" s="6">
        <v>841320000</v>
      </c>
      <c r="R104" s="6" t="s">
        <v>1996</v>
      </c>
      <c r="S104" s="6">
        <v>81</v>
      </c>
      <c r="T104" s="6" t="s">
        <v>1899</v>
      </c>
      <c r="U104">
        <v>841</v>
      </c>
    </row>
    <row r="105" spans="1:21">
      <c r="A105" s="137" t="str">
        <f>IF(E105="","",VLOOKUP('Opći dio'!$C$3,'Opći dio'!$L$6:$U$137,10,FALSE))</f>
        <v/>
      </c>
      <c r="B105" s="137" t="str">
        <f>IF(E105="","",VLOOKUP('Opći dio'!$C$3,'Opći dio'!$L$6:$U$137,9,FALSE))</f>
        <v/>
      </c>
      <c r="C105" s="184" t="str">
        <f t="shared" si="5"/>
        <v/>
      </c>
      <c r="D105" s="136" t="str">
        <f t="shared" si="6"/>
        <v/>
      </c>
      <c r="E105" s="148"/>
      <c r="F105" s="188" t="str">
        <f t="shared" si="7"/>
        <v/>
      </c>
      <c r="G105" s="182"/>
      <c r="H105" s="182"/>
      <c r="I105" s="182"/>
      <c r="K105" s="139" t="str">
        <f t="shared" si="8"/>
        <v/>
      </c>
      <c r="L105" s="139" t="str">
        <f t="shared" si="9"/>
        <v/>
      </c>
      <c r="Q105" s="6">
        <v>842220081</v>
      </c>
      <c r="R105" s="6" t="s">
        <v>1901</v>
      </c>
      <c r="S105" s="6">
        <v>81</v>
      </c>
      <c r="T105" s="6" t="s">
        <v>1899</v>
      </c>
      <c r="U105">
        <v>842</v>
      </c>
    </row>
    <row r="106" spans="1:21">
      <c r="A106" s="137" t="str">
        <f>IF(E106="","",VLOOKUP('Opći dio'!$C$3,'Opći dio'!$L$6:$U$137,10,FALSE))</f>
        <v/>
      </c>
      <c r="B106" s="137" t="str">
        <f>IF(E106="","",VLOOKUP('Opći dio'!$C$3,'Opći dio'!$L$6:$U$137,9,FALSE))</f>
        <v/>
      </c>
      <c r="C106" s="184" t="str">
        <f t="shared" si="5"/>
        <v/>
      </c>
      <c r="D106" s="136" t="str">
        <f t="shared" si="6"/>
        <v/>
      </c>
      <c r="E106" s="148"/>
      <c r="F106" s="188" t="str">
        <f t="shared" si="7"/>
        <v/>
      </c>
      <c r="G106" s="182"/>
      <c r="H106" s="182"/>
      <c r="I106" s="182"/>
      <c r="K106" s="139" t="str">
        <f t="shared" si="8"/>
        <v/>
      </c>
      <c r="L106" s="139" t="str">
        <f t="shared" si="9"/>
        <v/>
      </c>
    </row>
    <row r="107" spans="1:21">
      <c r="A107" s="137" t="str">
        <f>IF(E107="","",VLOOKUP('Opći dio'!$C$3,'Opći dio'!$L$6:$U$137,10,FALSE))</f>
        <v/>
      </c>
      <c r="B107" s="137" t="str">
        <f>IF(E107="","",VLOOKUP('Opći dio'!$C$3,'Opći dio'!$L$6:$U$137,9,FALSE))</f>
        <v/>
      </c>
      <c r="C107" s="184" t="str">
        <f t="shared" si="5"/>
        <v/>
      </c>
      <c r="D107" s="136" t="str">
        <f t="shared" si="6"/>
        <v/>
      </c>
      <c r="E107" s="148"/>
      <c r="F107" s="188" t="str">
        <f t="shared" si="7"/>
        <v/>
      </c>
      <c r="G107" s="182"/>
      <c r="H107" s="182"/>
      <c r="I107" s="182"/>
      <c r="K107" s="139" t="str">
        <f t="shared" si="8"/>
        <v/>
      </c>
      <c r="L107" s="139" t="str">
        <f t="shared" si="9"/>
        <v/>
      </c>
    </row>
    <row r="108" spans="1:21">
      <c r="A108" s="137" t="str">
        <f>IF(E108="","",VLOOKUP('Opći dio'!$C$3,'Opći dio'!$L$6:$U$137,10,FALSE))</f>
        <v/>
      </c>
      <c r="B108" s="137" t="str">
        <f>IF(E108="","",VLOOKUP('Opći dio'!$C$3,'Opći dio'!$L$6:$U$137,9,FALSE))</f>
        <v/>
      </c>
      <c r="C108" s="184" t="str">
        <f t="shared" si="5"/>
        <v/>
      </c>
      <c r="D108" s="136" t="str">
        <f t="shared" si="6"/>
        <v/>
      </c>
      <c r="E108" s="148"/>
      <c r="F108" s="188" t="str">
        <f t="shared" si="7"/>
        <v/>
      </c>
      <c r="G108" s="182"/>
      <c r="H108" s="182"/>
      <c r="I108" s="182"/>
      <c r="K108" s="139" t="str">
        <f t="shared" si="8"/>
        <v/>
      </c>
      <c r="L108" s="139" t="str">
        <f t="shared" si="9"/>
        <v/>
      </c>
    </row>
    <row r="109" spans="1:21">
      <c r="A109" s="137" t="str">
        <f>IF(E109="","",VLOOKUP('Opći dio'!$C$3,'Opći dio'!$L$6:$U$137,10,FALSE))</f>
        <v/>
      </c>
      <c r="B109" s="137" t="str">
        <f>IF(E109="","",VLOOKUP('Opći dio'!$C$3,'Opći dio'!$L$6:$U$137,9,FALSE))</f>
        <v/>
      </c>
      <c r="C109" s="184" t="str">
        <f t="shared" si="5"/>
        <v/>
      </c>
      <c r="D109" s="136" t="str">
        <f t="shared" si="6"/>
        <v/>
      </c>
      <c r="E109" s="148"/>
      <c r="F109" s="188" t="str">
        <f t="shared" si="7"/>
        <v/>
      </c>
      <c r="G109" s="182"/>
      <c r="H109" s="182"/>
      <c r="I109" s="182"/>
      <c r="K109" s="139" t="str">
        <f t="shared" si="8"/>
        <v/>
      </c>
      <c r="L109" s="139" t="str">
        <f t="shared" si="9"/>
        <v/>
      </c>
    </row>
    <row r="110" spans="1:21">
      <c r="A110" s="137" t="str">
        <f>IF(E110="","",VLOOKUP('Opći dio'!$C$3,'Opći dio'!$L$6:$U$137,10,FALSE))</f>
        <v/>
      </c>
      <c r="B110" s="137" t="str">
        <f>IF(E110="","",VLOOKUP('Opći dio'!$C$3,'Opći dio'!$L$6:$U$137,9,FALSE))</f>
        <v/>
      </c>
      <c r="C110" s="184" t="str">
        <f t="shared" si="5"/>
        <v/>
      </c>
      <c r="D110" s="136" t="str">
        <f t="shared" si="6"/>
        <v/>
      </c>
      <c r="E110" s="148"/>
      <c r="F110" s="188" t="str">
        <f t="shared" si="7"/>
        <v/>
      </c>
      <c r="G110" s="182"/>
      <c r="H110" s="182"/>
      <c r="I110" s="182"/>
      <c r="K110" s="139" t="str">
        <f t="shared" si="8"/>
        <v/>
      </c>
      <c r="L110" s="139" t="str">
        <f t="shared" si="9"/>
        <v/>
      </c>
    </row>
    <row r="111" spans="1:21">
      <c r="A111" s="137" t="str">
        <f>IF(E111="","",VLOOKUP('Opći dio'!$C$3,'Opći dio'!$L$6:$U$137,10,FALSE))</f>
        <v/>
      </c>
      <c r="B111" s="137" t="str">
        <f>IF(E111="","",VLOOKUP('Opći dio'!$C$3,'Opći dio'!$L$6:$U$137,9,FALSE))</f>
        <v/>
      </c>
      <c r="C111" s="184" t="str">
        <f t="shared" si="5"/>
        <v/>
      </c>
      <c r="D111" s="136" t="str">
        <f t="shared" si="6"/>
        <v/>
      </c>
      <c r="E111" s="148"/>
      <c r="F111" s="188" t="str">
        <f t="shared" si="7"/>
        <v/>
      </c>
      <c r="G111" s="182"/>
      <c r="H111" s="182"/>
      <c r="I111" s="182"/>
      <c r="K111" s="139" t="str">
        <f t="shared" si="8"/>
        <v/>
      </c>
      <c r="L111" s="139" t="str">
        <f t="shared" si="9"/>
        <v/>
      </c>
    </row>
    <row r="112" spans="1:21">
      <c r="A112" s="137" t="str">
        <f>IF(E112="","",VLOOKUP('Opći dio'!$C$3,'Opći dio'!$L$6:$U$137,10,FALSE))</f>
        <v/>
      </c>
      <c r="B112" s="137" t="str">
        <f>IF(E112="","",VLOOKUP('Opći dio'!$C$3,'Opći dio'!$L$6:$U$137,9,FALSE))</f>
        <v/>
      </c>
      <c r="C112" s="184" t="str">
        <f t="shared" si="5"/>
        <v/>
      </c>
      <c r="D112" s="136" t="str">
        <f t="shared" si="6"/>
        <v/>
      </c>
      <c r="E112" s="148"/>
      <c r="F112" s="188" t="str">
        <f t="shared" si="7"/>
        <v/>
      </c>
      <c r="G112" s="182"/>
      <c r="H112" s="182"/>
      <c r="I112" s="182"/>
      <c r="K112" s="139" t="str">
        <f t="shared" si="8"/>
        <v/>
      </c>
      <c r="L112" s="139" t="str">
        <f t="shared" si="9"/>
        <v/>
      </c>
    </row>
    <row r="113" spans="1:12">
      <c r="A113" s="137" t="str">
        <f>IF(E113="","",VLOOKUP('Opći dio'!$C$3,'Opći dio'!$L$6:$U$137,10,FALSE))</f>
        <v/>
      </c>
      <c r="B113" s="137" t="str">
        <f>IF(E113="","",VLOOKUP('Opći dio'!$C$3,'Opći dio'!$L$6:$U$137,9,FALSE))</f>
        <v/>
      </c>
      <c r="C113" s="184" t="str">
        <f t="shared" si="5"/>
        <v/>
      </c>
      <c r="D113" s="136" t="str">
        <f t="shared" si="6"/>
        <v/>
      </c>
      <c r="E113" s="148"/>
      <c r="F113" s="188" t="str">
        <f t="shared" si="7"/>
        <v/>
      </c>
      <c r="G113" s="182"/>
      <c r="H113" s="182"/>
      <c r="I113" s="182"/>
      <c r="K113" s="139" t="str">
        <f t="shared" si="8"/>
        <v/>
      </c>
      <c r="L113" s="139" t="str">
        <f t="shared" si="9"/>
        <v/>
      </c>
    </row>
    <row r="114" spans="1:12">
      <c r="A114" s="137" t="str">
        <f>IF(E114="","",VLOOKUP('Opći dio'!$C$3,'Opći dio'!$L$6:$U$137,10,FALSE))</f>
        <v/>
      </c>
      <c r="B114" s="137" t="str">
        <f>IF(E114="","",VLOOKUP('Opći dio'!$C$3,'Opći dio'!$L$6:$U$137,9,FALSE))</f>
        <v/>
      </c>
      <c r="C114" s="184" t="str">
        <f t="shared" si="5"/>
        <v/>
      </c>
      <c r="D114" s="136" t="str">
        <f t="shared" si="6"/>
        <v/>
      </c>
      <c r="E114" s="148"/>
      <c r="F114" s="188" t="str">
        <f t="shared" si="7"/>
        <v/>
      </c>
      <c r="G114" s="182"/>
      <c r="H114" s="182"/>
      <c r="I114" s="182"/>
      <c r="K114" s="139" t="str">
        <f t="shared" si="8"/>
        <v/>
      </c>
      <c r="L114" s="139" t="str">
        <f t="shared" si="9"/>
        <v/>
      </c>
    </row>
    <row r="115" spans="1:12">
      <c r="A115" s="137" t="str">
        <f>IF(E115="","",VLOOKUP('Opći dio'!$C$3,'Opći dio'!$L$6:$U$137,10,FALSE))</f>
        <v/>
      </c>
      <c r="B115" s="137" t="str">
        <f>IF(E115="","",VLOOKUP('Opći dio'!$C$3,'Opći dio'!$L$6:$U$137,9,FALSE))</f>
        <v/>
      </c>
      <c r="C115" s="184" t="str">
        <f t="shared" si="5"/>
        <v/>
      </c>
      <c r="D115" s="136" t="str">
        <f t="shared" si="6"/>
        <v/>
      </c>
      <c r="E115" s="148"/>
      <c r="F115" s="188" t="str">
        <f t="shared" si="7"/>
        <v/>
      </c>
      <c r="G115" s="182"/>
      <c r="H115" s="182"/>
      <c r="I115" s="182"/>
      <c r="K115" s="139" t="str">
        <f t="shared" si="8"/>
        <v/>
      </c>
      <c r="L115" s="139" t="str">
        <f t="shared" si="9"/>
        <v/>
      </c>
    </row>
    <row r="116" spans="1:12">
      <c r="A116" s="137" t="str">
        <f>IF(E116="","",VLOOKUP('Opći dio'!$C$3,'Opći dio'!$L$6:$U$137,10,FALSE))</f>
        <v/>
      </c>
      <c r="B116" s="137" t="str">
        <f>IF(E116="","",VLOOKUP('Opći dio'!$C$3,'Opći dio'!$L$6:$U$137,9,FALSE))</f>
        <v/>
      </c>
      <c r="C116" s="184" t="str">
        <f t="shared" si="5"/>
        <v/>
      </c>
      <c r="D116" s="136" t="str">
        <f t="shared" si="6"/>
        <v/>
      </c>
      <c r="E116" s="148"/>
      <c r="F116" s="188" t="str">
        <f t="shared" si="7"/>
        <v/>
      </c>
      <c r="G116" s="182"/>
      <c r="H116" s="182"/>
      <c r="I116" s="182"/>
      <c r="K116" s="139" t="str">
        <f t="shared" si="8"/>
        <v/>
      </c>
      <c r="L116" s="139" t="str">
        <f t="shared" si="9"/>
        <v/>
      </c>
    </row>
    <row r="117" spans="1:12">
      <c r="A117" s="137" t="str">
        <f>IF(E117="","",VLOOKUP('Opći dio'!$C$3,'Opći dio'!$L$6:$U$137,10,FALSE))</f>
        <v/>
      </c>
      <c r="B117" s="137" t="str">
        <f>IF(E117="","",VLOOKUP('Opći dio'!$C$3,'Opći dio'!$L$6:$U$137,9,FALSE))</f>
        <v/>
      </c>
      <c r="C117" s="184" t="str">
        <f t="shared" si="5"/>
        <v/>
      </c>
      <c r="D117" s="136" t="str">
        <f t="shared" si="6"/>
        <v/>
      </c>
      <c r="E117" s="148"/>
      <c r="F117" s="188" t="str">
        <f t="shared" si="7"/>
        <v/>
      </c>
      <c r="G117" s="182"/>
      <c r="H117" s="182"/>
      <c r="I117" s="182"/>
      <c r="K117" s="139" t="str">
        <f t="shared" si="8"/>
        <v/>
      </c>
      <c r="L117" s="139" t="str">
        <f t="shared" si="9"/>
        <v/>
      </c>
    </row>
    <row r="118" spans="1:12">
      <c r="A118" s="137" t="str">
        <f>IF(E118="","",VLOOKUP('Opći dio'!$C$3,'Opći dio'!$L$6:$U$137,10,FALSE))</f>
        <v/>
      </c>
      <c r="B118" s="137" t="str">
        <f>IF(E118="","",VLOOKUP('Opći dio'!$C$3,'Opći dio'!$L$6:$U$137,9,FALSE))</f>
        <v/>
      </c>
      <c r="C118" s="184" t="str">
        <f t="shared" si="5"/>
        <v/>
      </c>
      <c r="D118" s="136" t="str">
        <f t="shared" si="6"/>
        <v/>
      </c>
      <c r="E118" s="148"/>
      <c r="F118" s="188" t="str">
        <f t="shared" si="7"/>
        <v/>
      </c>
      <c r="G118" s="182"/>
      <c r="H118" s="182"/>
      <c r="I118" s="182"/>
      <c r="K118" s="139" t="str">
        <f t="shared" si="8"/>
        <v/>
      </c>
      <c r="L118" s="139" t="str">
        <f t="shared" si="9"/>
        <v/>
      </c>
    </row>
    <row r="119" spans="1:12">
      <c r="A119" s="137" t="str">
        <f>IF(E119="","",VLOOKUP('Opći dio'!$C$3,'Opći dio'!$L$6:$U$137,10,FALSE))</f>
        <v/>
      </c>
      <c r="B119" s="137" t="str">
        <f>IF(E119="","",VLOOKUP('Opći dio'!$C$3,'Opći dio'!$L$6:$U$137,9,FALSE))</f>
        <v/>
      </c>
      <c r="C119" s="184" t="str">
        <f t="shared" si="5"/>
        <v/>
      </c>
      <c r="D119" s="136" t="str">
        <f t="shared" si="6"/>
        <v/>
      </c>
      <c r="E119" s="148"/>
      <c r="F119" s="188" t="str">
        <f t="shared" si="7"/>
        <v/>
      </c>
      <c r="G119" s="182"/>
      <c r="H119" s="182"/>
      <c r="I119" s="182"/>
      <c r="K119" s="139" t="str">
        <f t="shared" si="8"/>
        <v/>
      </c>
      <c r="L119" s="139" t="str">
        <f t="shared" si="9"/>
        <v/>
      </c>
    </row>
    <row r="120" spans="1:12">
      <c r="A120" s="137" t="str">
        <f>IF(E120="","",VLOOKUP('Opći dio'!$C$3,'Opći dio'!$L$6:$U$137,10,FALSE))</f>
        <v/>
      </c>
      <c r="B120" s="137" t="str">
        <f>IF(E120="","",VLOOKUP('Opći dio'!$C$3,'Opći dio'!$L$6:$U$137,9,FALSE))</f>
        <v/>
      </c>
      <c r="C120" s="184" t="str">
        <f t="shared" si="5"/>
        <v/>
      </c>
      <c r="D120" s="136" t="str">
        <f t="shared" si="6"/>
        <v/>
      </c>
      <c r="E120" s="148"/>
      <c r="F120" s="188" t="str">
        <f t="shared" si="7"/>
        <v/>
      </c>
      <c r="G120" s="182"/>
      <c r="H120" s="182"/>
      <c r="I120" s="182"/>
      <c r="K120" s="139" t="str">
        <f t="shared" si="8"/>
        <v/>
      </c>
      <c r="L120" s="139" t="str">
        <f t="shared" si="9"/>
        <v/>
      </c>
    </row>
    <row r="121" spans="1:12">
      <c r="A121" s="137" t="str">
        <f>IF(E121="","",VLOOKUP('Opći dio'!$C$3,'Opći dio'!$L$6:$U$137,10,FALSE))</f>
        <v/>
      </c>
      <c r="B121" s="137" t="str">
        <f>IF(E121="","",VLOOKUP('Opći dio'!$C$3,'Opći dio'!$L$6:$U$137,9,FALSE))</f>
        <v/>
      </c>
      <c r="C121" s="184" t="str">
        <f t="shared" si="5"/>
        <v/>
      </c>
      <c r="D121" s="136" t="str">
        <f t="shared" si="6"/>
        <v/>
      </c>
      <c r="E121" s="148"/>
      <c r="F121" s="188" t="str">
        <f t="shared" si="7"/>
        <v/>
      </c>
      <c r="G121" s="182"/>
      <c r="H121" s="182"/>
      <c r="I121" s="182"/>
      <c r="K121" s="139" t="str">
        <f t="shared" si="8"/>
        <v/>
      </c>
      <c r="L121" s="139" t="str">
        <f t="shared" si="9"/>
        <v/>
      </c>
    </row>
    <row r="122" spans="1:12">
      <c r="A122" s="137" t="str">
        <f>IF(E122="","",VLOOKUP('Opći dio'!$C$3,'Opći dio'!$L$6:$U$137,10,FALSE))</f>
        <v/>
      </c>
      <c r="B122" s="137" t="str">
        <f>IF(E122="","",VLOOKUP('Opći dio'!$C$3,'Opći dio'!$L$6:$U$137,9,FALSE))</f>
        <v/>
      </c>
      <c r="C122" s="184" t="str">
        <f t="shared" si="5"/>
        <v/>
      </c>
      <c r="D122" s="136" t="str">
        <f t="shared" si="6"/>
        <v/>
      </c>
      <c r="E122" s="148"/>
      <c r="F122" s="188" t="str">
        <f t="shared" si="7"/>
        <v/>
      </c>
      <c r="G122" s="182"/>
      <c r="H122" s="182"/>
      <c r="I122" s="182"/>
      <c r="K122" s="139" t="str">
        <f t="shared" si="8"/>
        <v/>
      </c>
      <c r="L122" s="139" t="str">
        <f t="shared" si="9"/>
        <v/>
      </c>
    </row>
    <row r="123" spans="1:12">
      <c r="A123" s="137" t="str">
        <f>IF(E123="","",VLOOKUP('Opći dio'!$C$3,'Opći dio'!$L$6:$U$137,10,FALSE))</f>
        <v/>
      </c>
      <c r="B123" s="137" t="str">
        <f>IF(E123="","",VLOOKUP('Opći dio'!$C$3,'Opći dio'!$L$6:$U$137,9,FALSE))</f>
        <v/>
      </c>
      <c r="C123" s="184" t="str">
        <f t="shared" si="5"/>
        <v/>
      </c>
      <c r="D123" s="136" t="str">
        <f t="shared" si="6"/>
        <v/>
      </c>
      <c r="E123" s="148"/>
      <c r="F123" s="188" t="str">
        <f t="shared" si="7"/>
        <v/>
      </c>
      <c r="G123" s="182"/>
      <c r="H123" s="182"/>
      <c r="I123" s="182"/>
      <c r="K123" s="139" t="str">
        <f t="shared" si="8"/>
        <v/>
      </c>
      <c r="L123" s="139" t="str">
        <f t="shared" si="9"/>
        <v/>
      </c>
    </row>
    <row r="124" spans="1:12">
      <c r="A124" s="137" t="str">
        <f>IF(E124="","",VLOOKUP('Opći dio'!$C$3,'Opći dio'!$L$6:$U$137,10,FALSE))</f>
        <v/>
      </c>
      <c r="B124" s="137" t="str">
        <f>IF(E124="","",VLOOKUP('Opći dio'!$C$3,'Opći dio'!$L$6:$U$137,9,FALSE))</f>
        <v/>
      </c>
      <c r="C124" s="184" t="str">
        <f t="shared" si="5"/>
        <v/>
      </c>
      <c r="D124" s="136" t="str">
        <f t="shared" si="6"/>
        <v/>
      </c>
      <c r="E124" s="148"/>
      <c r="F124" s="188" t="str">
        <f t="shared" si="7"/>
        <v/>
      </c>
      <c r="G124" s="182"/>
      <c r="H124" s="182"/>
      <c r="I124" s="182"/>
      <c r="K124" s="139" t="str">
        <f t="shared" si="8"/>
        <v/>
      </c>
      <c r="L124" s="139" t="str">
        <f t="shared" si="9"/>
        <v/>
      </c>
    </row>
    <row r="125" spans="1:12">
      <c r="A125" s="137" t="str">
        <f>IF(E125="","",VLOOKUP('Opći dio'!$C$3,'Opći dio'!$L$6:$U$137,10,FALSE))</f>
        <v/>
      </c>
      <c r="B125" s="137" t="str">
        <f>IF(E125="","",VLOOKUP('Opći dio'!$C$3,'Opći dio'!$L$6:$U$137,9,FALSE))</f>
        <v/>
      </c>
      <c r="C125" s="184" t="str">
        <f t="shared" si="5"/>
        <v/>
      </c>
      <c r="D125" s="136" t="str">
        <f t="shared" si="6"/>
        <v/>
      </c>
      <c r="E125" s="148"/>
      <c r="F125" s="188" t="str">
        <f t="shared" si="7"/>
        <v/>
      </c>
      <c r="G125" s="182"/>
      <c r="H125" s="182"/>
      <c r="I125" s="182"/>
      <c r="K125" s="139" t="str">
        <f t="shared" si="8"/>
        <v/>
      </c>
      <c r="L125" s="139" t="str">
        <f t="shared" si="9"/>
        <v/>
      </c>
    </row>
    <row r="126" spans="1:12">
      <c r="A126" s="137" t="str">
        <f>IF(E126="","",VLOOKUP('Opći dio'!$C$3,'Opći dio'!$L$6:$U$137,10,FALSE))</f>
        <v/>
      </c>
      <c r="B126" s="137" t="str">
        <f>IF(E126="","",VLOOKUP('Opći dio'!$C$3,'Opći dio'!$L$6:$U$137,9,FALSE))</f>
        <v/>
      </c>
      <c r="C126" s="184" t="str">
        <f t="shared" si="5"/>
        <v/>
      </c>
      <c r="D126" s="136" t="str">
        <f t="shared" si="6"/>
        <v/>
      </c>
      <c r="E126" s="148"/>
      <c r="F126" s="188" t="str">
        <f t="shared" si="7"/>
        <v/>
      </c>
      <c r="G126" s="182"/>
      <c r="H126" s="182"/>
      <c r="I126" s="182"/>
      <c r="K126" s="139" t="str">
        <f t="shared" si="8"/>
        <v/>
      </c>
      <c r="L126" s="139" t="str">
        <f t="shared" si="9"/>
        <v/>
      </c>
    </row>
    <row r="127" spans="1:12">
      <c r="A127" s="137" t="str">
        <f>IF(E127="","",VLOOKUP('Opći dio'!$C$3,'Opći dio'!$L$6:$U$137,10,FALSE))</f>
        <v/>
      </c>
      <c r="B127" s="137" t="str">
        <f>IF(E127="","",VLOOKUP('Opći dio'!$C$3,'Opći dio'!$L$6:$U$137,9,FALSE))</f>
        <v/>
      </c>
      <c r="C127" s="184" t="str">
        <f t="shared" si="5"/>
        <v/>
      </c>
      <c r="D127" s="136" t="str">
        <f t="shared" si="6"/>
        <v/>
      </c>
      <c r="E127" s="148"/>
      <c r="F127" s="188" t="str">
        <f t="shared" si="7"/>
        <v/>
      </c>
      <c r="G127" s="182"/>
      <c r="H127" s="182"/>
      <c r="I127" s="182"/>
      <c r="K127" s="139" t="str">
        <f t="shared" si="8"/>
        <v/>
      </c>
      <c r="L127" s="139" t="str">
        <f t="shared" si="9"/>
        <v/>
      </c>
    </row>
    <row r="128" spans="1:12">
      <c r="A128" s="137" t="str">
        <f>IF(E128="","",VLOOKUP('Opći dio'!$C$3,'Opći dio'!$L$6:$U$137,10,FALSE))</f>
        <v/>
      </c>
      <c r="B128" s="137" t="str">
        <f>IF(E128="","",VLOOKUP('Opći dio'!$C$3,'Opći dio'!$L$6:$U$137,9,FALSE))</f>
        <v/>
      </c>
      <c r="C128" s="184" t="str">
        <f t="shared" si="5"/>
        <v/>
      </c>
      <c r="D128" s="136" t="str">
        <f t="shared" si="6"/>
        <v/>
      </c>
      <c r="E128" s="148"/>
      <c r="F128" s="188" t="str">
        <f t="shared" si="7"/>
        <v/>
      </c>
      <c r="G128" s="182"/>
      <c r="H128" s="182"/>
      <c r="I128" s="182"/>
      <c r="K128" s="139" t="str">
        <f t="shared" si="8"/>
        <v/>
      </c>
      <c r="L128" s="139" t="str">
        <f t="shared" si="9"/>
        <v/>
      </c>
    </row>
    <row r="129" spans="1:12">
      <c r="A129" s="137" t="str">
        <f>IF(E129="","",VLOOKUP('Opći dio'!$C$3,'Opći dio'!$L$6:$U$137,10,FALSE))</f>
        <v/>
      </c>
      <c r="B129" s="137" t="str">
        <f>IF(E129="","",VLOOKUP('Opći dio'!$C$3,'Opći dio'!$L$6:$U$137,9,FALSE))</f>
        <v/>
      </c>
      <c r="C129" s="184" t="str">
        <f t="shared" si="5"/>
        <v/>
      </c>
      <c r="D129" s="136" t="str">
        <f t="shared" si="6"/>
        <v/>
      </c>
      <c r="E129" s="148"/>
      <c r="F129" s="188" t="str">
        <f t="shared" si="7"/>
        <v/>
      </c>
      <c r="G129" s="182"/>
      <c r="H129" s="182"/>
      <c r="I129" s="182"/>
      <c r="K129" s="139" t="str">
        <f t="shared" si="8"/>
        <v/>
      </c>
      <c r="L129" s="139" t="str">
        <f t="shared" si="9"/>
        <v/>
      </c>
    </row>
    <row r="130" spans="1:12">
      <c r="A130" s="137" t="str">
        <f>IF(E130="","",VLOOKUP('Opći dio'!$C$3,'Opći dio'!$L$6:$U$137,10,FALSE))</f>
        <v/>
      </c>
      <c r="B130" s="137" t="str">
        <f>IF(E130="","",VLOOKUP('Opći dio'!$C$3,'Opći dio'!$L$6:$U$137,9,FALSE))</f>
        <v/>
      </c>
      <c r="C130" s="184" t="str">
        <f t="shared" si="5"/>
        <v/>
      </c>
      <c r="D130" s="136" t="str">
        <f t="shared" si="6"/>
        <v/>
      </c>
      <c r="E130" s="148"/>
      <c r="F130" s="188" t="str">
        <f t="shared" si="7"/>
        <v/>
      </c>
      <c r="G130" s="182"/>
      <c r="H130" s="182"/>
      <c r="I130" s="182"/>
      <c r="K130" s="139" t="str">
        <f t="shared" si="8"/>
        <v/>
      </c>
      <c r="L130" s="139" t="str">
        <f t="shared" si="9"/>
        <v/>
      </c>
    </row>
    <row r="131" spans="1:12">
      <c r="A131" s="137" t="str">
        <f>IF(E131="","",VLOOKUP('Opći dio'!$C$3,'Opći dio'!$L$6:$U$137,10,FALSE))</f>
        <v/>
      </c>
      <c r="B131" s="137" t="str">
        <f>IF(E131="","",VLOOKUP('Opći dio'!$C$3,'Opći dio'!$L$6:$U$137,9,FALSE))</f>
        <v/>
      </c>
      <c r="C131" s="184" t="str">
        <f t="shared" si="5"/>
        <v/>
      </c>
      <c r="D131" s="136" t="str">
        <f t="shared" si="6"/>
        <v/>
      </c>
      <c r="E131" s="148"/>
      <c r="F131" s="188" t="str">
        <f t="shared" si="7"/>
        <v/>
      </c>
      <c r="G131" s="182"/>
      <c r="H131" s="182"/>
      <c r="I131" s="182"/>
      <c r="K131" s="139" t="str">
        <f t="shared" si="8"/>
        <v/>
      </c>
      <c r="L131" s="139" t="str">
        <f t="shared" si="9"/>
        <v/>
      </c>
    </row>
    <row r="132" spans="1:12">
      <c r="A132" s="137" t="str">
        <f>IF(E132="","",VLOOKUP('Opći dio'!$C$3,'Opći dio'!$L$6:$U$137,10,FALSE))</f>
        <v/>
      </c>
      <c r="B132" s="137" t="str">
        <f>IF(E132="","",VLOOKUP('Opći dio'!$C$3,'Opći dio'!$L$6:$U$137,9,FALSE))</f>
        <v/>
      </c>
      <c r="C132" s="184" t="str">
        <f t="shared" ref="C132:C195" si="10">IFERROR(VLOOKUP(E132,$Q$6:$T$105,3,FALSE),"")</f>
        <v/>
      </c>
      <c r="D132" s="136" t="str">
        <f t="shared" ref="D132:D195" si="11">IFERROR(VLOOKUP(E132,$Q$6:$T$105,4,FALSE),"")</f>
        <v/>
      </c>
      <c r="E132" s="148"/>
      <c r="F132" s="188" t="str">
        <f t="shared" ref="F132:F195" si="12">IFERROR(VLOOKUP(E132,$Q$6:$T$105,2,FALSE),"")</f>
        <v/>
      </c>
      <c r="G132" s="182"/>
      <c r="H132" s="182"/>
      <c r="I132" s="182"/>
      <c r="K132" s="139" t="str">
        <f t="shared" ref="K132:K195" si="13">LEFT(E132,3)</f>
        <v/>
      </c>
      <c r="L132" s="139" t="str">
        <f t="shared" ref="L132:L195" si="14">LEFT(E132,2)</f>
        <v/>
      </c>
    </row>
    <row r="133" spans="1:12">
      <c r="A133" s="137" t="str">
        <f>IF(E133="","",VLOOKUP('Opći dio'!$C$3,'Opći dio'!$L$6:$U$137,10,FALSE))</f>
        <v/>
      </c>
      <c r="B133" s="137" t="str">
        <f>IF(E133="","",VLOOKUP('Opći dio'!$C$3,'Opći dio'!$L$6:$U$137,9,FALSE))</f>
        <v/>
      </c>
      <c r="C133" s="184" t="str">
        <f t="shared" si="10"/>
        <v/>
      </c>
      <c r="D133" s="136" t="str">
        <f t="shared" si="11"/>
        <v/>
      </c>
      <c r="E133" s="148"/>
      <c r="F133" s="188" t="str">
        <f t="shared" si="12"/>
        <v/>
      </c>
      <c r="G133" s="182"/>
      <c r="H133" s="182"/>
      <c r="I133" s="182"/>
      <c r="K133" s="139" t="str">
        <f t="shared" si="13"/>
        <v/>
      </c>
      <c r="L133" s="139" t="str">
        <f t="shared" si="14"/>
        <v/>
      </c>
    </row>
    <row r="134" spans="1:12">
      <c r="A134" s="137" t="str">
        <f>IF(E134="","",VLOOKUP('Opći dio'!$C$3,'Opći dio'!$L$6:$U$137,10,FALSE))</f>
        <v/>
      </c>
      <c r="B134" s="137" t="str">
        <f>IF(E134="","",VLOOKUP('Opći dio'!$C$3,'Opći dio'!$L$6:$U$137,9,FALSE))</f>
        <v/>
      </c>
      <c r="C134" s="184" t="str">
        <f t="shared" si="10"/>
        <v/>
      </c>
      <c r="D134" s="136" t="str">
        <f t="shared" si="11"/>
        <v/>
      </c>
      <c r="E134" s="148"/>
      <c r="F134" s="188" t="str">
        <f t="shared" si="12"/>
        <v/>
      </c>
      <c r="G134" s="182"/>
      <c r="H134" s="182"/>
      <c r="I134" s="182"/>
      <c r="K134" s="139" t="str">
        <f t="shared" si="13"/>
        <v/>
      </c>
      <c r="L134" s="139" t="str">
        <f t="shared" si="14"/>
        <v/>
      </c>
    </row>
    <row r="135" spans="1:12">
      <c r="A135" s="137" t="str">
        <f>IF(E135="","",VLOOKUP('Opći dio'!$C$3,'Opći dio'!$L$6:$U$137,10,FALSE))</f>
        <v/>
      </c>
      <c r="B135" s="137" t="str">
        <f>IF(E135="","",VLOOKUP('Opći dio'!$C$3,'Opći dio'!$L$6:$U$137,9,FALSE))</f>
        <v/>
      </c>
      <c r="C135" s="184" t="str">
        <f t="shared" si="10"/>
        <v/>
      </c>
      <c r="D135" s="136" t="str">
        <f t="shared" si="11"/>
        <v/>
      </c>
      <c r="E135" s="148"/>
      <c r="F135" s="188" t="str">
        <f t="shared" si="12"/>
        <v/>
      </c>
      <c r="G135" s="182"/>
      <c r="H135" s="182"/>
      <c r="I135" s="182"/>
      <c r="K135" s="139" t="str">
        <f t="shared" si="13"/>
        <v/>
      </c>
      <c r="L135" s="139" t="str">
        <f t="shared" si="14"/>
        <v/>
      </c>
    </row>
    <row r="136" spans="1:12">
      <c r="A136" s="137" t="str">
        <f>IF(E136="","",VLOOKUP('Opći dio'!$C$3,'Opći dio'!$L$6:$U$137,10,FALSE))</f>
        <v/>
      </c>
      <c r="B136" s="137" t="str">
        <f>IF(E136="","",VLOOKUP('Opći dio'!$C$3,'Opći dio'!$L$6:$U$137,9,FALSE))</f>
        <v/>
      </c>
      <c r="C136" s="184" t="str">
        <f t="shared" si="10"/>
        <v/>
      </c>
      <c r="D136" s="136" t="str">
        <f t="shared" si="11"/>
        <v/>
      </c>
      <c r="E136" s="148"/>
      <c r="F136" s="188" t="str">
        <f t="shared" si="12"/>
        <v/>
      </c>
      <c r="G136" s="182"/>
      <c r="H136" s="182"/>
      <c r="I136" s="182"/>
      <c r="K136" s="139" t="str">
        <f t="shared" si="13"/>
        <v/>
      </c>
      <c r="L136" s="139" t="str">
        <f t="shared" si="14"/>
        <v/>
      </c>
    </row>
    <row r="137" spans="1:12">
      <c r="A137" s="137" t="str">
        <f>IF(E137="","",VLOOKUP('Opći dio'!$C$3,'Opći dio'!$L$6:$U$137,10,FALSE))</f>
        <v/>
      </c>
      <c r="B137" s="137" t="str">
        <f>IF(E137="","",VLOOKUP('Opći dio'!$C$3,'Opći dio'!$L$6:$U$137,9,FALSE))</f>
        <v/>
      </c>
      <c r="C137" s="184" t="str">
        <f t="shared" si="10"/>
        <v/>
      </c>
      <c r="D137" s="136" t="str">
        <f t="shared" si="11"/>
        <v/>
      </c>
      <c r="E137" s="148"/>
      <c r="F137" s="188" t="str">
        <f t="shared" si="12"/>
        <v/>
      </c>
      <c r="G137" s="182"/>
      <c r="H137" s="182"/>
      <c r="I137" s="182"/>
      <c r="K137" s="139" t="str">
        <f t="shared" si="13"/>
        <v/>
      </c>
      <c r="L137" s="139" t="str">
        <f t="shared" si="14"/>
        <v/>
      </c>
    </row>
    <row r="138" spans="1:12">
      <c r="A138" s="137" t="str">
        <f>IF(E138="","",VLOOKUP('Opći dio'!$C$3,'Opći dio'!$L$6:$U$137,10,FALSE))</f>
        <v/>
      </c>
      <c r="B138" s="137" t="str">
        <f>IF(E138="","",VLOOKUP('Opći dio'!$C$3,'Opći dio'!$L$6:$U$137,9,FALSE))</f>
        <v/>
      </c>
      <c r="C138" s="184" t="str">
        <f t="shared" si="10"/>
        <v/>
      </c>
      <c r="D138" s="136" t="str">
        <f t="shared" si="11"/>
        <v/>
      </c>
      <c r="E138" s="148"/>
      <c r="F138" s="188" t="str">
        <f t="shared" si="12"/>
        <v/>
      </c>
      <c r="G138" s="182"/>
      <c r="H138" s="182"/>
      <c r="I138" s="182"/>
      <c r="K138" s="139" t="str">
        <f t="shared" si="13"/>
        <v/>
      </c>
      <c r="L138" s="139" t="str">
        <f t="shared" si="14"/>
        <v/>
      </c>
    </row>
    <row r="139" spans="1:12">
      <c r="A139" s="137" t="str">
        <f>IF(E139="","",VLOOKUP('Opći dio'!$C$3,'Opći dio'!$L$6:$U$137,10,FALSE))</f>
        <v/>
      </c>
      <c r="B139" s="137" t="str">
        <f>IF(E139="","",VLOOKUP('Opći dio'!$C$3,'Opći dio'!$L$6:$U$137,9,FALSE))</f>
        <v/>
      </c>
      <c r="C139" s="184" t="str">
        <f t="shared" si="10"/>
        <v/>
      </c>
      <c r="D139" s="136" t="str">
        <f t="shared" si="11"/>
        <v/>
      </c>
      <c r="E139" s="148"/>
      <c r="F139" s="188" t="str">
        <f t="shared" si="12"/>
        <v/>
      </c>
      <c r="G139" s="182"/>
      <c r="H139" s="182"/>
      <c r="I139" s="182"/>
      <c r="K139" s="139" t="str">
        <f t="shared" si="13"/>
        <v/>
      </c>
      <c r="L139" s="139" t="str">
        <f t="shared" si="14"/>
        <v/>
      </c>
    </row>
    <row r="140" spans="1:12">
      <c r="A140" s="137" t="str">
        <f>IF(E140="","",VLOOKUP('Opći dio'!$C$3,'Opći dio'!$L$6:$U$137,10,FALSE))</f>
        <v/>
      </c>
      <c r="B140" s="137" t="str">
        <f>IF(E140="","",VLOOKUP('Opći dio'!$C$3,'Opći dio'!$L$6:$U$137,9,FALSE))</f>
        <v/>
      </c>
      <c r="C140" s="184" t="str">
        <f t="shared" si="10"/>
        <v/>
      </c>
      <c r="D140" s="136" t="str">
        <f t="shared" si="11"/>
        <v/>
      </c>
      <c r="E140" s="148"/>
      <c r="F140" s="188" t="str">
        <f t="shared" si="12"/>
        <v/>
      </c>
      <c r="G140" s="182"/>
      <c r="H140" s="182"/>
      <c r="I140" s="182"/>
      <c r="K140" s="139" t="str">
        <f t="shared" si="13"/>
        <v/>
      </c>
      <c r="L140" s="139" t="str">
        <f t="shared" si="14"/>
        <v/>
      </c>
    </row>
    <row r="141" spans="1:12">
      <c r="A141" s="137" t="str">
        <f>IF(E141="","",VLOOKUP('Opći dio'!$C$3,'Opći dio'!$L$6:$U$137,10,FALSE))</f>
        <v/>
      </c>
      <c r="B141" s="137" t="str">
        <f>IF(E141="","",VLOOKUP('Opći dio'!$C$3,'Opći dio'!$L$6:$U$137,9,FALSE))</f>
        <v/>
      </c>
      <c r="C141" s="184" t="str">
        <f t="shared" si="10"/>
        <v/>
      </c>
      <c r="D141" s="136" t="str">
        <f t="shared" si="11"/>
        <v/>
      </c>
      <c r="E141" s="148"/>
      <c r="F141" s="188" t="str">
        <f t="shared" si="12"/>
        <v/>
      </c>
      <c r="G141" s="182"/>
      <c r="H141" s="182"/>
      <c r="I141" s="182"/>
      <c r="K141" s="139" t="str">
        <f t="shared" si="13"/>
        <v/>
      </c>
      <c r="L141" s="139" t="str">
        <f t="shared" si="14"/>
        <v/>
      </c>
    </row>
    <row r="142" spans="1:12">
      <c r="A142" s="137" t="str">
        <f>IF(E142="","",VLOOKUP('Opći dio'!$C$3,'Opći dio'!$L$6:$U$137,10,FALSE))</f>
        <v/>
      </c>
      <c r="B142" s="137" t="str">
        <f>IF(E142="","",VLOOKUP('Opći dio'!$C$3,'Opći dio'!$L$6:$U$137,9,FALSE))</f>
        <v/>
      </c>
      <c r="C142" s="184" t="str">
        <f t="shared" si="10"/>
        <v/>
      </c>
      <c r="D142" s="136" t="str">
        <f t="shared" si="11"/>
        <v/>
      </c>
      <c r="E142" s="148"/>
      <c r="F142" s="188" t="str">
        <f t="shared" si="12"/>
        <v/>
      </c>
      <c r="G142" s="182"/>
      <c r="H142" s="182"/>
      <c r="I142" s="182"/>
      <c r="K142" s="139" t="str">
        <f t="shared" si="13"/>
        <v/>
      </c>
      <c r="L142" s="139" t="str">
        <f t="shared" si="14"/>
        <v/>
      </c>
    </row>
    <row r="143" spans="1:12">
      <c r="A143" s="137" t="str">
        <f>IF(E143="","",VLOOKUP('Opći dio'!$C$3,'Opći dio'!$L$6:$U$137,10,FALSE))</f>
        <v/>
      </c>
      <c r="B143" s="137" t="str">
        <f>IF(E143="","",VLOOKUP('Opći dio'!$C$3,'Opći dio'!$L$6:$U$137,9,FALSE))</f>
        <v/>
      </c>
      <c r="C143" s="184" t="str">
        <f t="shared" si="10"/>
        <v/>
      </c>
      <c r="D143" s="136" t="str">
        <f t="shared" si="11"/>
        <v/>
      </c>
      <c r="E143" s="148"/>
      <c r="F143" s="188" t="str">
        <f t="shared" si="12"/>
        <v/>
      </c>
      <c r="G143" s="182"/>
      <c r="H143" s="182"/>
      <c r="I143" s="182"/>
      <c r="K143" s="139" t="str">
        <f t="shared" si="13"/>
        <v/>
      </c>
      <c r="L143" s="139" t="str">
        <f t="shared" si="14"/>
        <v/>
      </c>
    </row>
    <row r="144" spans="1:12">
      <c r="A144" s="137" t="str">
        <f>IF(E144="","",VLOOKUP('Opći dio'!$C$3,'Opći dio'!$L$6:$U$137,10,FALSE))</f>
        <v/>
      </c>
      <c r="B144" s="137" t="str">
        <f>IF(E144="","",VLOOKUP('Opći dio'!$C$3,'Opći dio'!$L$6:$U$137,9,FALSE))</f>
        <v/>
      </c>
      <c r="C144" s="184" t="str">
        <f t="shared" si="10"/>
        <v/>
      </c>
      <c r="D144" s="136" t="str">
        <f t="shared" si="11"/>
        <v/>
      </c>
      <c r="E144" s="148"/>
      <c r="F144" s="188" t="str">
        <f t="shared" si="12"/>
        <v/>
      </c>
      <c r="G144" s="182"/>
      <c r="H144" s="182"/>
      <c r="I144" s="182"/>
      <c r="K144" s="139" t="str">
        <f t="shared" si="13"/>
        <v/>
      </c>
      <c r="L144" s="139" t="str">
        <f t="shared" si="14"/>
        <v/>
      </c>
    </row>
    <row r="145" spans="1:12">
      <c r="A145" s="137" t="str">
        <f>IF(E145="","",VLOOKUP('Opći dio'!$C$3,'Opći dio'!$L$6:$U$137,10,FALSE))</f>
        <v/>
      </c>
      <c r="B145" s="137" t="str">
        <f>IF(E145="","",VLOOKUP('Opći dio'!$C$3,'Opći dio'!$L$6:$U$137,9,FALSE))</f>
        <v/>
      </c>
      <c r="C145" s="184" t="str">
        <f t="shared" si="10"/>
        <v/>
      </c>
      <c r="D145" s="136" t="str">
        <f t="shared" si="11"/>
        <v/>
      </c>
      <c r="E145" s="148"/>
      <c r="F145" s="188" t="str">
        <f t="shared" si="12"/>
        <v/>
      </c>
      <c r="G145" s="182"/>
      <c r="H145" s="182"/>
      <c r="I145" s="182"/>
      <c r="K145" s="139" t="str">
        <f t="shared" si="13"/>
        <v/>
      </c>
      <c r="L145" s="139" t="str">
        <f t="shared" si="14"/>
        <v/>
      </c>
    </row>
    <row r="146" spans="1:12">
      <c r="A146" s="137" t="str">
        <f>IF(E146="","",VLOOKUP('Opći dio'!$C$3,'Opći dio'!$L$6:$U$137,10,FALSE))</f>
        <v/>
      </c>
      <c r="B146" s="137" t="str">
        <f>IF(E146="","",VLOOKUP('Opći dio'!$C$3,'Opći dio'!$L$6:$U$137,9,FALSE))</f>
        <v/>
      </c>
      <c r="C146" s="184" t="str">
        <f t="shared" si="10"/>
        <v/>
      </c>
      <c r="D146" s="136" t="str">
        <f t="shared" si="11"/>
        <v/>
      </c>
      <c r="E146" s="148"/>
      <c r="F146" s="188" t="str">
        <f t="shared" si="12"/>
        <v/>
      </c>
      <c r="G146" s="182"/>
      <c r="H146" s="182"/>
      <c r="I146" s="182"/>
      <c r="K146" s="139" t="str">
        <f t="shared" si="13"/>
        <v/>
      </c>
      <c r="L146" s="139" t="str">
        <f t="shared" si="14"/>
        <v/>
      </c>
    </row>
    <row r="147" spans="1:12">
      <c r="A147" s="137" t="str">
        <f>IF(E147="","",VLOOKUP('Opći dio'!$C$3,'Opći dio'!$L$6:$U$137,10,FALSE))</f>
        <v/>
      </c>
      <c r="B147" s="137" t="str">
        <f>IF(E147="","",VLOOKUP('Opći dio'!$C$3,'Opći dio'!$L$6:$U$137,9,FALSE))</f>
        <v/>
      </c>
      <c r="C147" s="184" t="str">
        <f t="shared" si="10"/>
        <v/>
      </c>
      <c r="D147" s="136" t="str">
        <f t="shared" si="11"/>
        <v/>
      </c>
      <c r="E147" s="148"/>
      <c r="F147" s="188" t="str">
        <f t="shared" si="12"/>
        <v/>
      </c>
      <c r="G147" s="182"/>
      <c r="H147" s="182"/>
      <c r="I147" s="182"/>
      <c r="K147" s="139" t="str">
        <f t="shared" si="13"/>
        <v/>
      </c>
      <c r="L147" s="139" t="str">
        <f t="shared" si="14"/>
        <v/>
      </c>
    </row>
    <row r="148" spans="1:12">
      <c r="A148" s="137" t="str">
        <f>IF(E148="","",VLOOKUP('Opći dio'!$C$3,'Opći dio'!$L$6:$U$137,10,FALSE))</f>
        <v/>
      </c>
      <c r="B148" s="137" t="str">
        <f>IF(E148="","",VLOOKUP('Opći dio'!$C$3,'Opći dio'!$L$6:$U$137,9,FALSE))</f>
        <v/>
      </c>
      <c r="C148" s="184" t="str">
        <f t="shared" si="10"/>
        <v/>
      </c>
      <c r="D148" s="136" t="str">
        <f t="shared" si="11"/>
        <v/>
      </c>
      <c r="E148" s="148"/>
      <c r="F148" s="188" t="str">
        <f t="shared" si="12"/>
        <v/>
      </c>
      <c r="G148" s="182"/>
      <c r="H148" s="182"/>
      <c r="I148" s="182"/>
      <c r="K148" s="139" t="str">
        <f t="shared" si="13"/>
        <v/>
      </c>
      <c r="L148" s="139" t="str">
        <f t="shared" si="14"/>
        <v/>
      </c>
    </row>
    <row r="149" spans="1:12">
      <c r="A149" s="137" t="str">
        <f>IF(E149="","",VLOOKUP('Opći dio'!$C$3,'Opći dio'!$L$6:$U$137,10,FALSE))</f>
        <v/>
      </c>
      <c r="B149" s="137" t="str">
        <f>IF(E149="","",VLOOKUP('Opći dio'!$C$3,'Opći dio'!$L$6:$U$137,9,FALSE))</f>
        <v/>
      </c>
      <c r="C149" s="184" t="str">
        <f t="shared" si="10"/>
        <v/>
      </c>
      <c r="D149" s="136" t="str">
        <f t="shared" si="11"/>
        <v/>
      </c>
      <c r="E149" s="148"/>
      <c r="F149" s="188" t="str">
        <f t="shared" si="12"/>
        <v/>
      </c>
      <c r="G149" s="182"/>
      <c r="H149" s="182"/>
      <c r="I149" s="182"/>
      <c r="K149" s="139" t="str">
        <f t="shared" si="13"/>
        <v/>
      </c>
      <c r="L149" s="139" t="str">
        <f t="shared" si="14"/>
        <v/>
      </c>
    </row>
    <row r="150" spans="1:12">
      <c r="A150" s="137" t="str">
        <f>IF(E150="","",VLOOKUP('Opći dio'!$C$3,'Opći dio'!$L$6:$U$137,10,FALSE))</f>
        <v/>
      </c>
      <c r="B150" s="137" t="str">
        <f>IF(E150="","",VLOOKUP('Opći dio'!$C$3,'Opći dio'!$L$6:$U$137,9,FALSE))</f>
        <v/>
      </c>
      <c r="C150" s="184" t="str">
        <f t="shared" si="10"/>
        <v/>
      </c>
      <c r="D150" s="136" t="str">
        <f t="shared" si="11"/>
        <v/>
      </c>
      <c r="E150" s="148"/>
      <c r="F150" s="188" t="str">
        <f t="shared" si="12"/>
        <v/>
      </c>
      <c r="G150" s="182"/>
      <c r="H150" s="182"/>
      <c r="I150" s="182"/>
      <c r="K150" s="139" t="str">
        <f t="shared" si="13"/>
        <v/>
      </c>
      <c r="L150" s="139" t="str">
        <f t="shared" si="14"/>
        <v/>
      </c>
    </row>
    <row r="151" spans="1:12">
      <c r="A151" s="137" t="str">
        <f>IF(E151="","",VLOOKUP('Opći dio'!$C$3,'Opći dio'!$L$6:$U$137,10,FALSE))</f>
        <v/>
      </c>
      <c r="B151" s="137" t="str">
        <f>IF(E151="","",VLOOKUP('Opći dio'!$C$3,'Opći dio'!$L$6:$U$137,9,FALSE))</f>
        <v/>
      </c>
      <c r="C151" s="184" t="str">
        <f t="shared" si="10"/>
        <v/>
      </c>
      <c r="D151" s="136" t="str">
        <f t="shared" si="11"/>
        <v/>
      </c>
      <c r="E151" s="148"/>
      <c r="F151" s="188" t="str">
        <f t="shared" si="12"/>
        <v/>
      </c>
      <c r="G151" s="182"/>
      <c r="H151" s="182"/>
      <c r="I151" s="182"/>
      <c r="K151" s="139" t="str">
        <f t="shared" si="13"/>
        <v/>
      </c>
      <c r="L151" s="139" t="str">
        <f t="shared" si="14"/>
        <v/>
      </c>
    </row>
    <row r="152" spans="1:12">
      <c r="A152" s="137" t="str">
        <f>IF(E152="","",VLOOKUP('Opći dio'!$C$3,'Opći dio'!$L$6:$U$137,10,FALSE))</f>
        <v/>
      </c>
      <c r="B152" s="137" t="str">
        <f>IF(E152="","",VLOOKUP('Opći dio'!$C$3,'Opći dio'!$L$6:$U$137,9,FALSE))</f>
        <v/>
      </c>
      <c r="C152" s="184" t="str">
        <f t="shared" si="10"/>
        <v/>
      </c>
      <c r="D152" s="136" t="str">
        <f t="shared" si="11"/>
        <v/>
      </c>
      <c r="E152" s="148"/>
      <c r="F152" s="188" t="str">
        <f t="shared" si="12"/>
        <v/>
      </c>
      <c r="G152" s="182"/>
      <c r="H152" s="182"/>
      <c r="I152" s="182"/>
      <c r="K152" s="139" t="str">
        <f t="shared" si="13"/>
        <v/>
      </c>
      <c r="L152" s="139" t="str">
        <f t="shared" si="14"/>
        <v/>
      </c>
    </row>
    <row r="153" spans="1:12">
      <c r="A153" s="137" t="str">
        <f>IF(E153="","",VLOOKUP('Opći dio'!$C$3,'Opći dio'!$L$6:$U$137,10,FALSE))</f>
        <v/>
      </c>
      <c r="B153" s="137" t="str">
        <f>IF(E153="","",VLOOKUP('Opći dio'!$C$3,'Opći dio'!$L$6:$U$137,9,FALSE))</f>
        <v/>
      </c>
      <c r="C153" s="184" t="str">
        <f t="shared" si="10"/>
        <v/>
      </c>
      <c r="D153" s="136" t="str">
        <f t="shared" si="11"/>
        <v/>
      </c>
      <c r="E153" s="148"/>
      <c r="F153" s="188" t="str">
        <f t="shared" si="12"/>
        <v/>
      </c>
      <c r="G153" s="182"/>
      <c r="H153" s="182"/>
      <c r="I153" s="182"/>
      <c r="K153" s="139" t="str">
        <f t="shared" si="13"/>
        <v/>
      </c>
      <c r="L153" s="139" t="str">
        <f t="shared" si="14"/>
        <v/>
      </c>
    </row>
    <row r="154" spans="1:12">
      <c r="A154" s="137" t="str">
        <f>IF(E154="","",VLOOKUP('Opći dio'!$C$3,'Opći dio'!$L$6:$U$137,10,FALSE))</f>
        <v/>
      </c>
      <c r="B154" s="137" t="str">
        <f>IF(E154="","",VLOOKUP('Opći dio'!$C$3,'Opći dio'!$L$6:$U$137,9,FALSE))</f>
        <v/>
      </c>
      <c r="C154" s="184" t="str">
        <f t="shared" si="10"/>
        <v/>
      </c>
      <c r="D154" s="136" t="str">
        <f t="shared" si="11"/>
        <v/>
      </c>
      <c r="E154" s="148"/>
      <c r="F154" s="188" t="str">
        <f t="shared" si="12"/>
        <v/>
      </c>
      <c r="G154" s="182"/>
      <c r="H154" s="182"/>
      <c r="I154" s="182"/>
      <c r="K154" s="139" t="str">
        <f t="shared" si="13"/>
        <v/>
      </c>
      <c r="L154" s="139" t="str">
        <f t="shared" si="14"/>
        <v/>
      </c>
    </row>
    <row r="155" spans="1:12">
      <c r="A155" s="137" t="str">
        <f>IF(E155="","",VLOOKUP('Opći dio'!$C$3,'Opći dio'!$L$6:$U$137,10,FALSE))</f>
        <v/>
      </c>
      <c r="B155" s="137" t="str">
        <f>IF(E155="","",VLOOKUP('Opći dio'!$C$3,'Opći dio'!$L$6:$U$137,9,FALSE))</f>
        <v/>
      </c>
      <c r="C155" s="184" t="str">
        <f t="shared" si="10"/>
        <v/>
      </c>
      <c r="D155" s="136" t="str">
        <f t="shared" si="11"/>
        <v/>
      </c>
      <c r="E155" s="148"/>
      <c r="F155" s="188" t="str">
        <f t="shared" si="12"/>
        <v/>
      </c>
      <c r="G155" s="182"/>
      <c r="H155" s="182"/>
      <c r="I155" s="182"/>
      <c r="K155" s="139" t="str">
        <f t="shared" si="13"/>
        <v/>
      </c>
      <c r="L155" s="139" t="str">
        <f t="shared" si="14"/>
        <v/>
      </c>
    </row>
    <row r="156" spans="1:12">
      <c r="A156" s="137" t="str">
        <f>IF(E156="","",VLOOKUP('Opći dio'!$C$3,'Opći dio'!$L$6:$U$137,10,FALSE))</f>
        <v/>
      </c>
      <c r="B156" s="137" t="str">
        <f>IF(E156="","",VLOOKUP('Opći dio'!$C$3,'Opći dio'!$L$6:$U$137,9,FALSE))</f>
        <v/>
      </c>
      <c r="C156" s="184" t="str">
        <f t="shared" si="10"/>
        <v/>
      </c>
      <c r="D156" s="136" t="str">
        <f t="shared" si="11"/>
        <v/>
      </c>
      <c r="E156" s="148"/>
      <c r="F156" s="188" t="str">
        <f t="shared" si="12"/>
        <v/>
      </c>
      <c r="G156" s="182"/>
      <c r="H156" s="182"/>
      <c r="I156" s="182"/>
      <c r="K156" s="139" t="str">
        <f t="shared" si="13"/>
        <v/>
      </c>
      <c r="L156" s="139" t="str">
        <f t="shared" si="14"/>
        <v/>
      </c>
    </row>
    <row r="157" spans="1:12">
      <c r="A157" s="137" t="str">
        <f>IF(E157="","",VLOOKUP('Opći dio'!$C$3,'Opći dio'!$L$6:$U$137,10,FALSE))</f>
        <v/>
      </c>
      <c r="B157" s="137" t="str">
        <f>IF(E157="","",VLOOKUP('Opći dio'!$C$3,'Opći dio'!$L$6:$U$137,9,FALSE))</f>
        <v/>
      </c>
      <c r="C157" s="184" t="str">
        <f t="shared" si="10"/>
        <v/>
      </c>
      <c r="D157" s="136" t="str">
        <f t="shared" si="11"/>
        <v/>
      </c>
      <c r="E157" s="148"/>
      <c r="F157" s="188" t="str">
        <f t="shared" si="12"/>
        <v/>
      </c>
      <c r="G157" s="182"/>
      <c r="H157" s="182"/>
      <c r="I157" s="182"/>
      <c r="K157" s="139" t="str">
        <f t="shared" si="13"/>
        <v/>
      </c>
      <c r="L157" s="139" t="str">
        <f t="shared" si="14"/>
        <v/>
      </c>
    </row>
    <row r="158" spans="1:12">
      <c r="A158" s="137" t="str">
        <f>IF(E158="","",VLOOKUP('Opći dio'!$C$3,'Opći dio'!$L$6:$U$137,10,FALSE))</f>
        <v/>
      </c>
      <c r="B158" s="137" t="str">
        <f>IF(E158="","",VLOOKUP('Opći dio'!$C$3,'Opći dio'!$L$6:$U$137,9,FALSE))</f>
        <v/>
      </c>
      <c r="C158" s="184" t="str">
        <f t="shared" si="10"/>
        <v/>
      </c>
      <c r="D158" s="136" t="str">
        <f t="shared" si="11"/>
        <v/>
      </c>
      <c r="E158" s="148"/>
      <c r="F158" s="188" t="str">
        <f t="shared" si="12"/>
        <v/>
      </c>
      <c r="G158" s="182"/>
      <c r="H158" s="182"/>
      <c r="I158" s="182"/>
      <c r="K158" s="139" t="str">
        <f t="shared" si="13"/>
        <v/>
      </c>
      <c r="L158" s="139" t="str">
        <f t="shared" si="14"/>
        <v/>
      </c>
    </row>
    <row r="159" spans="1:12">
      <c r="A159" s="137" t="str">
        <f>IF(E159="","",VLOOKUP('Opći dio'!$C$3,'Opći dio'!$L$6:$U$137,10,FALSE))</f>
        <v/>
      </c>
      <c r="B159" s="137" t="str">
        <f>IF(E159="","",VLOOKUP('Opći dio'!$C$3,'Opći dio'!$L$6:$U$137,9,FALSE))</f>
        <v/>
      </c>
      <c r="C159" s="184" t="str">
        <f t="shared" si="10"/>
        <v/>
      </c>
      <c r="D159" s="136" t="str">
        <f t="shared" si="11"/>
        <v/>
      </c>
      <c r="E159" s="148"/>
      <c r="F159" s="188" t="str">
        <f t="shared" si="12"/>
        <v/>
      </c>
      <c r="G159" s="182"/>
      <c r="H159" s="182"/>
      <c r="I159" s="182"/>
      <c r="K159" s="139" t="str">
        <f t="shared" si="13"/>
        <v/>
      </c>
      <c r="L159" s="139" t="str">
        <f t="shared" si="14"/>
        <v/>
      </c>
    </row>
    <row r="160" spans="1:12">
      <c r="A160" s="137" t="str">
        <f>IF(E160="","",VLOOKUP('Opći dio'!$C$3,'Opći dio'!$L$6:$U$137,10,FALSE))</f>
        <v/>
      </c>
      <c r="B160" s="137" t="str">
        <f>IF(E160="","",VLOOKUP('Opći dio'!$C$3,'Opći dio'!$L$6:$U$137,9,FALSE))</f>
        <v/>
      </c>
      <c r="C160" s="184" t="str">
        <f t="shared" si="10"/>
        <v/>
      </c>
      <c r="D160" s="136" t="str">
        <f t="shared" si="11"/>
        <v/>
      </c>
      <c r="E160" s="148"/>
      <c r="F160" s="188" t="str">
        <f t="shared" si="12"/>
        <v/>
      </c>
      <c r="G160" s="182"/>
      <c r="H160" s="182"/>
      <c r="I160" s="182"/>
      <c r="K160" s="139" t="str">
        <f t="shared" si="13"/>
        <v/>
      </c>
      <c r="L160" s="139" t="str">
        <f t="shared" si="14"/>
        <v/>
      </c>
    </row>
    <row r="161" spans="1:12">
      <c r="A161" s="137" t="str">
        <f>IF(E161="","",VLOOKUP('Opći dio'!$C$3,'Opći dio'!$L$6:$U$137,10,FALSE))</f>
        <v/>
      </c>
      <c r="B161" s="137" t="str">
        <f>IF(E161="","",VLOOKUP('Opći dio'!$C$3,'Opći dio'!$L$6:$U$137,9,FALSE))</f>
        <v/>
      </c>
      <c r="C161" s="184" t="str">
        <f t="shared" si="10"/>
        <v/>
      </c>
      <c r="D161" s="136" t="str">
        <f t="shared" si="11"/>
        <v/>
      </c>
      <c r="E161" s="148"/>
      <c r="F161" s="188" t="str">
        <f t="shared" si="12"/>
        <v/>
      </c>
      <c r="G161" s="182"/>
      <c r="H161" s="182"/>
      <c r="I161" s="182"/>
      <c r="K161" s="139" t="str">
        <f t="shared" si="13"/>
        <v/>
      </c>
      <c r="L161" s="139" t="str">
        <f t="shared" si="14"/>
        <v/>
      </c>
    </row>
    <row r="162" spans="1:12">
      <c r="A162" s="137" t="str">
        <f>IF(E162="","",VLOOKUP('Opći dio'!$C$3,'Opći dio'!$L$6:$U$137,10,FALSE))</f>
        <v/>
      </c>
      <c r="B162" s="137" t="str">
        <f>IF(E162="","",VLOOKUP('Opći dio'!$C$3,'Opći dio'!$L$6:$U$137,9,FALSE))</f>
        <v/>
      </c>
      <c r="C162" s="184" t="str">
        <f t="shared" si="10"/>
        <v/>
      </c>
      <c r="D162" s="136" t="str">
        <f t="shared" si="11"/>
        <v/>
      </c>
      <c r="E162" s="148"/>
      <c r="F162" s="188" t="str">
        <f t="shared" si="12"/>
        <v/>
      </c>
      <c r="G162" s="182"/>
      <c r="H162" s="182"/>
      <c r="I162" s="182"/>
      <c r="K162" s="139" t="str">
        <f t="shared" si="13"/>
        <v/>
      </c>
      <c r="L162" s="139" t="str">
        <f t="shared" si="14"/>
        <v/>
      </c>
    </row>
    <row r="163" spans="1:12">
      <c r="A163" s="137" t="str">
        <f>IF(E163="","",VLOOKUP('Opći dio'!$C$3,'Opći dio'!$L$6:$U$137,10,FALSE))</f>
        <v/>
      </c>
      <c r="B163" s="137" t="str">
        <f>IF(E163="","",VLOOKUP('Opći dio'!$C$3,'Opći dio'!$L$6:$U$137,9,FALSE))</f>
        <v/>
      </c>
      <c r="C163" s="184" t="str">
        <f t="shared" si="10"/>
        <v/>
      </c>
      <c r="D163" s="136" t="str">
        <f t="shared" si="11"/>
        <v/>
      </c>
      <c r="E163" s="148"/>
      <c r="F163" s="188" t="str">
        <f t="shared" si="12"/>
        <v/>
      </c>
      <c r="G163" s="182"/>
      <c r="H163" s="182"/>
      <c r="I163" s="182"/>
      <c r="K163" s="139" t="str">
        <f t="shared" si="13"/>
        <v/>
      </c>
      <c r="L163" s="139" t="str">
        <f t="shared" si="14"/>
        <v/>
      </c>
    </row>
    <row r="164" spans="1:12">
      <c r="A164" s="137" t="str">
        <f>IF(E164="","",VLOOKUP('Opći dio'!$C$3,'Opći dio'!$L$6:$U$137,10,FALSE))</f>
        <v/>
      </c>
      <c r="B164" s="137" t="str">
        <f>IF(E164="","",VLOOKUP('Opći dio'!$C$3,'Opći dio'!$L$6:$U$137,9,FALSE))</f>
        <v/>
      </c>
      <c r="C164" s="184" t="str">
        <f t="shared" si="10"/>
        <v/>
      </c>
      <c r="D164" s="136" t="str">
        <f t="shared" si="11"/>
        <v/>
      </c>
      <c r="E164" s="148"/>
      <c r="F164" s="188" t="str">
        <f t="shared" si="12"/>
        <v/>
      </c>
      <c r="G164" s="182"/>
      <c r="H164" s="182"/>
      <c r="I164" s="182"/>
      <c r="K164" s="139" t="str">
        <f t="shared" si="13"/>
        <v/>
      </c>
      <c r="L164" s="139" t="str">
        <f t="shared" si="14"/>
        <v/>
      </c>
    </row>
    <row r="165" spans="1:12">
      <c r="A165" s="137" t="str">
        <f>IF(E165="","",VLOOKUP('Opći dio'!$C$3,'Opći dio'!$L$6:$U$137,10,FALSE))</f>
        <v/>
      </c>
      <c r="B165" s="137" t="str">
        <f>IF(E165="","",VLOOKUP('Opći dio'!$C$3,'Opći dio'!$L$6:$U$137,9,FALSE))</f>
        <v/>
      </c>
      <c r="C165" s="184" t="str">
        <f t="shared" si="10"/>
        <v/>
      </c>
      <c r="D165" s="136" t="str">
        <f t="shared" si="11"/>
        <v/>
      </c>
      <c r="E165" s="148"/>
      <c r="F165" s="188" t="str">
        <f t="shared" si="12"/>
        <v/>
      </c>
      <c r="G165" s="182"/>
      <c r="H165" s="182"/>
      <c r="I165" s="182"/>
      <c r="K165" s="139" t="str">
        <f t="shared" si="13"/>
        <v/>
      </c>
      <c r="L165" s="139" t="str">
        <f t="shared" si="14"/>
        <v/>
      </c>
    </row>
    <row r="166" spans="1:12">
      <c r="A166" s="137" t="str">
        <f>IF(E166="","",VLOOKUP('Opći dio'!$C$3,'Opći dio'!$L$6:$U$137,10,FALSE))</f>
        <v/>
      </c>
      <c r="B166" s="137" t="str">
        <f>IF(E166="","",VLOOKUP('Opći dio'!$C$3,'Opći dio'!$L$6:$U$137,9,FALSE))</f>
        <v/>
      </c>
      <c r="C166" s="184" t="str">
        <f t="shared" si="10"/>
        <v/>
      </c>
      <c r="D166" s="136" t="str">
        <f t="shared" si="11"/>
        <v/>
      </c>
      <c r="E166" s="148"/>
      <c r="F166" s="188" t="str">
        <f t="shared" si="12"/>
        <v/>
      </c>
      <c r="G166" s="182"/>
      <c r="H166" s="182"/>
      <c r="I166" s="182"/>
      <c r="K166" s="139" t="str">
        <f t="shared" si="13"/>
        <v/>
      </c>
      <c r="L166" s="139" t="str">
        <f t="shared" si="14"/>
        <v/>
      </c>
    </row>
    <row r="167" spans="1:12">
      <c r="A167" s="137" t="str">
        <f>IF(E167="","",VLOOKUP('Opći dio'!$C$3,'Opći dio'!$L$6:$U$137,10,FALSE))</f>
        <v/>
      </c>
      <c r="B167" s="137" t="str">
        <f>IF(E167="","",VLOOKUP('Opći dio'!$C$3,'Opći dio'!$L$6:$U$137,9,FALSE))</f>
        <v/>
      </c>
      <c r="C167" s="184" t="str">
        <f t="shared" si="10"/>
        <v/>
      </c>
      <c r="D167" s="136" t="str">
        <f t="shared" si="11"/>
        <v/>
      </c>
      <c r="E167" s="148"/>
      <c r="F167" s="188" t="str">
        <f t="shared" si="12"/>
        <v/>
      </c>
      <c r="G167" s="182"/>
      <c r="H167" s="182"/>
      <c r="I167" s="182"/>
      <c r="K167" s="139" t="str">
        <f t="shared" si="13"/>
        <v/>
      </c>
      <c r="L167" s="139" t="str">
        <f t="shared" si="14"/>
        <v/>
      </c>
    </row>
    <row r="168" spans="1:12">
      <c r="A168" s="137" t="str">
        <f>IF(E168="","",VLOOKUP('Opći dio'!$C$3,'Opći dio'!$L$6:$U$137,10,FALSE))</f>
        <v/>
      </c>
      <c r="B168" s="137" t="str">
        <f>IF(E168="","",VLOOKUP('Opći dio'!$C$3,'Opći dio'!$L$6:$U$137,9,FALSE))</f>
        <v/>
      </c>
      <c r="C168" s="184" t="str">
        <f t="shared" si="10"/>
        <v/>
      </c>
      <c r="D168" s="136" t="str">
        <f t="shared" si="11"/>
        <v/>
      </c>
      <c r="E168" s="148"/>
      <c r="F168" s="188" t="str">
        <f t="shared" si="12"/>
        <v/>
      </c>
      <c r="G168" s="182"/>
      <c r="H168" s="182"/>
      <c r="I168" s="182"/>
      <c r="K168" s="139" t="str">
        <f t="shared" si="13"/>
        <v/>
      </c>
      <c r="L168" s="139" t="str">
        <f t="shared" si="14"/>
        <v/>
      </c>
    </row>
    <row r="169" spans="1:12">
      <c r="A169" s="137" t="str">
        <f>IF(E169="","",VLOOKUP('Opći dio'!$C$3,'Opći dio'!$L$6:$U$137,10,FALSE))</f>
        <v/>
      </c>
      <c r="B169" s="137" t="str">
        <f>IF(E169="","",VLOOKUP('Opći dio'!$C$3,'Opći dio'!$L$6:$U$137,9,FALSE))</f>
        <v/>
      </c>
      <c r="C169" s="184" t="str">
        <f t="shared" si="10"/>
        <v/>
      </c>
      <c r="D169" s="136" t="str">
        <f t="shared" si="11"/>
        <v/>
      </c>
      <c r="E169" s="148"/>
      <c r="F169" s="188" t="str">
        <f t="shared" si="12"/>
        <v/>
      </c>
      <c r="G169" s="182"/>
      <c r="H169" s="182"/>
      <c r="I169" s="182"/>
      <c r="K169" s="139" t="str">
        <f t="shared" si="13"/>
        <v/>
      </c>
      <c r="L169" s="139" t="str">
        <f t="shared" si="14"/>
        <v/>
      </c>
    </row>
    <row r="170" spans="1:12">
      <c r="A170" s="137" t="str">
        <f>IF(E170="","",VLOOKUP('Opći dio'!$C$3,'Opći dio'!$L$6:$U$137,10,FALSE))</f>
        <v/>
      </c>
      <c r="B170" s="137" t="str">
        <f>IF(E170="","",VLOOKUP('Opći dio'!$C$3,'Opći dio'!$L$6:$U$137,9,FALSE))</f>
        <v/>
      </c>
      <c r="C170" s="184" t="str">
        <f t="shared" si="10"/>
        <v/>
      </c>
      <c r="D170" s="136" t="str">
        <f t="shared" si="11"/>
        <v/>
      </c>
      <c r="E170" s="148"/>
      <c r="F170" s="188" t="str">
        <f t="shared" si="12"/>
        <v/>
      </c>
      <c r="G170" s="182"/>
      <c r="H170" s="182"/>
      <c r="I170" s="182"/>
      <c r="K170" s="139" t="str">
        <f t="shared" si="13"/>
        <v/>
      </c>
      <c r="L170" s="139" t="str">
        <f t="shared" si="14"/>
        <v/>
      </c>
    </row>
    <row r="171" spans="1:12">
      <c r="A171" s="137" t="str">
        <f>IF(E171="","",VLOOKUP('Opći dio'!$C$3,'Opći dio'!$L$6:$U$137,10,FALSE))</f>
        <v/>
      </c>
      <c r="B171" s="137" t="str">
        <f>IF(E171="","",VLOOKUP('Opći dio'!$C$3,'Opći dio'!$L$6:$U$137,9,FALSE))</f>
        <v/>
      </c>
      <c r="C171" s="184" t="str">
        <f t="shared" si="10"/>
        <v/>
      </c>
      <c r="D171" s="136" t="str">
        <f t="shared" si="11"/>
        <v/>
      </c>
      <c r="E171" s="148"/>
      <c r="F171" s="188" t="str">
        <f t="shared" si="12"/>
        <v/>
      </c>
      <c r="G171" s="182"/>
      <c r="H171" s="182"/>
      <c r="I171" s="182"/>
      <c r="K171" s="139" t="str">
        <f t="shared" si="13"/>
        <v/>
      </c>
      <c r="L171" s="139" t="str">
        <f t="shared" si="14"/>
        <v/>
      </c>
    </row>
    <row r="172" spans="1:12">
      <c r="A172" s="137" t="str">
        <f>IF(E172="","",VLOOKUP('Opći dio'!$C$3,'Opći dio'!$L$6:$U$137,10,FALSE))</f>
        <v/>
      </c>
      <c r="B172" s="137" t="str">
        <f>IF(E172="","",VLOOKUP('Opći dio'!$C$3,'Opći dio'!$L$6:$U$137,9,FALSE))</f>
        <v/>
      </c>
      <c r="C172" s="184" t="str">
        <f t="shared" si="10"/>
        <v/>
      </c>
      <c r="D172" s="136" t="str">
        <f t="shared" si="11"/>
        <v/>
      </c>
      <c r="E172" s="148"/>
      <c r="F172" s="188" t="str">
        <f t="shared" si="12"/>
        <v/>
      </c>
      <c r="G172" s="182"/>
      <c r="H172" s="182"/>
      <c r="I172" s="182"/>
      <c r="K172" s="139" t="str">
        <f t="shared" si="13"/>
        <v/>
      </c>
      <c r="L172" s="139" t="str">
        <f t="shared" si="14"/>
        <v/>
      </c>
    </row>
    <row r="173" spans="1:12">
      <c r="A173" s="137" t="str">
        <f>IF(E173="","",VLOOKUP('Opći dio'!$C$3,'Opći dio'!$L$6:$U$137,10,FALSE))</f>
        <v/>
      </c>
      <c r="B173" s="137" t="str">
        <f>IF(E173="","",VLOOKUP('Opći dio'!$C$3,'Opći dio'!$L$6:$U$137,9,FALSE))</f>
        <v/>
      </c>
      <c r="C173" s="184" t="str">
        <f t="shared" si="10"/>
        <v/>
      </c>
      <c r="D173" s="136" t="str">
        <f t="shared" si="11"/>
        <v/>
      </c>
      <c r="E173" s="148"/>
      <c r="F173" s="188" t="str">
        <f t="shared" si="12"/>
        <v/>
      </c>
      <c r="G173" s="182"/>
      <c r="H173" s="182"/>
      <c r="I173" s="182"/>
      <c r="K173" s="139" t="str">
        <f t="shared" si="13"/>
        <v/>
      </c>
      <c r="L173" s="139" t="str">
        <f t="shared" si="14"/>
        <v/>
      </c>
    </row>
    <row r="174" spans="1:12">
      <c r="A174" s="137" t="str">
        <f>IF(E174="","",VLOOKUP('Opći dio'!$C$3,'Opći dio'!$L$6:$U$137,10,FALSE))</f>
        <v/>
      </c>
      <c r="B174" s="137" t="str">
        <f>IF(E174="","",VLOOKUP('Opći dio'!$C$3,'Opći dio'!$L$6:$U$137,9,FALSE))</f>
        <v/>
      </c>
      <c r="C174" s="184" t="str">
        <f t="shared" si="10"/>
        <v/>
      </c>
      <c r="D174" s="136" t="str">
        <f t="shared" si="11"/>
        <v/>
      </c>
      <c r="E174" s="148"/>
      <c r="F174" s="188" t="str">
        <f t="shared" si="12"/>
        <v/>
      </c>
      <c r="G174" s="182"/>
      <c r="H174" s="182"/>
      <c r="I174" s="182"/>
      <c r="K174" s="139" t="str">
        <f t="shared" si="13"/>
        <v/>
      </c>
      <c r="L174" s="139" t="str">
        <f t="shared" si="14"/>
        <v/>
      </c>
    </row>
    <row r="175" spans="1:12">
      <c r="A175" s="137" t="str">
        <f>IF(E175="","",VLOOKUP('Opći dio'!$C$3,'Opći dio'!$L$6:$U$137,10,FALSE))</f>
        <v/>
      </c>
      <c r="B175" s="137" t="str">
        <f>IF(E175="","",VLOOKUP('Opći dio'!$C$3,'Opći dio'!$L$6:$U$137,9,FALSE))</f>
        <v/>
      </c>
      <c r="C175" s="184" t="str">
        <f t="shared" si="10"/>
        <v/>
      </c>
      <c r="D175" s="136" t="str">
        <f t="shared" si="11"/>
        <v/>
      </c>
      <c r="E175" s="148"/>
      <c r="F175" s="188" t="str">
        <f t="shared" si="12"/>
        <v/>
      </c>
      <c r="G175" s="182"/>
      <c r="H175" s="182"/>
      <c r="I175" s="182"/>
      <c r="K175" s="139" t="str">
        <f t="shared" si="13"/>
        <v/>
      </c>
      <c r="L175" s="139" t="str">
        <f t="shared" si="14"/>
        <v/>
      </c>
    </row>
    <row r="176" spans="1:12">
      <c r="A176" s="137" t="str">
        <f>IF(E176="","",VLOOKUP('Opći dio'!$C$3,'Opći dio'!$L$6:$U$137,10,FALSE))</f>
        <v/>
      </c>
      <c r="B176" s="137" t="str">
        <f>IF(E176="","",VLOOKUP('Opći dio'!$C$3,'Opći dio'!$L$6:$U$137,9,FALSE))</f>
        <v/>
      </c>
      <c r="C176" s="184" t="str">
        <f t="shared" si="10"/>
        <v/>
      </c>
      <c r="D176" s="136" t="str">
        <f t="shared" si="11"/>
        <v/>
      </c>
      <c r="E176" s="148"/>
      <c r="F176" s="188" t="str">
        <f t="shared" si="12"/>
        <v/>
      </c>
      <c r="G176" s="182"/>
      <c r="H176" s="182"/>
      <c r="I176" s="182"/>
      <c r="K176" s="139" t="str">
        <f t="shared" si="13"/>
        <v/>
      </c>
      <c r="L176" s="139" t="str">
        <f t="shared" si="14"/>
        <v/>
      </c>
    </row>
    <row r="177" spans="1:12">
      <c r="A177" s="137" t="str">
        <f>IF(E177="","",VLOOKUP('Opći dio'!$C$3,'Opći dio'!$L$6:$U$137,10,FALSE))</f>
        <v/>
      </c>
      <c r="B177" s="137" t="str">
        <f>IF(E177="","",VLOOKUP('Opći dio'!$C$3,'Opći dio'!$L$6:$U$137,9,FALSE))</f>
        <v/>
      </c>
      <c r="C177" s="184" t="str">
        <f t="shared" si="10"/>
        <v/>
      </c>
      <c r="D177" s="136" t="str">
        <f t="shared" si="11"/>
        <v/>
      </c>
      <c r="E177" s="148"/>
      <c r="F177" s="188" t="str">
        <f t="shared" si="12"/>
        <v/>
      </c>
      <c r="G177" s="182"/>
      <c r="H177" s="182"/>
      <c r="I177" s="182"/>
      <c r="K177" s="139" t="str">
        <f t="shared" si="13"/>
        <v/>
      </c>
      <c r="L177" s="139" t="str">
        <f t="shared" si="14"/>
        <v/>
      </c>
    </row>
    <row r="178" spans="1:12">
      <c r="A178" s="137" t="str">
        <f>IF(E178="","",VLOOKUP('Opći dio'!$C$3,'Opći dio'!$L$6:$U$137,10,FALSE))</f>
        <v/>
      </c>
      <c r="B178" s="137" t="str">
        <f>IF(E178="","",VLOOKUP('Opći dio'!$C$3,'Opći dio'!$L$6:$U$137,9,FALSE))</f>
        <v/>
      </c>
      <c r="C178" s="184" t="str">
        <f t="shared" si="10"/>
        <v/>
      </c>
      <c r="D178" s="136" t="str">
        <f t="shared" si="11"/>
        <v/>
      </c>
      <c r="E178" s="148"/>
      <c r="F178" s="188" t="str">
        <f t="shared" si="12"/>
        <v/>
      </c>
      <c r="G178" s="182"/>
      <c r="H178" s="182"/>
      <c r="I178" s="182"/>
      <c r="K178" s="139" t="str">
        <f t="shared" si="13"/>
        <v/>
      </c>
      <c r="L178" s="139" t="str">
        <f t="shared" si="14"/>
        <v/>
      </c>
    </row>
    <row r="179" spans="1:12">
      <c r="A179" s="137" t="str">
        <f>IF(E179="","",VLOOKUP('Opći dio'!$C$3,'Opći dio'!$L$6:$U$137,10,FALSE))</f>
        <v/>
      </c>
      <c r="B179" s="137" t="str">
        <f>IF(E179="","",VLOOKUP('Opći dio'!$C$3,'Opći dio'!$L$6:$U$137,9,FALSE))</f>
        <v/>
      </c>
      <c r="C179" s="184" t="str">
        <f t="shared" si="10"/>
        <v/>
      </c>
      <c r="D179" s="136" t="str">
        <f t="shared" si="11"/>
        <v/>
      </c>
      <c r="E179" s="148"/>
      <c r="F179" s="188" t="str">
        <f t="shared" si="12"/>
        <v/>
      </c>
      <c r="G179" s="182"/>
      <c r="H179" s="182"/>
      <c r="I179" s="182"/>
      <c r="K179" s="139" t="str">
        <f t="shared" si="13"/>
        <v/>
      </c>
      <c r="L179" s="139" t="str">
        <f t="shared" si="14"/>
        <v/>
      </c>
    </row>
    <row r="180" spans="1:12">
      <c r="A180" s="137" t="str">
        <f>IF(E180="","",VLOOKUP('Opći dio'!$C$3,'Opći dio'!$L$6:$U$137,10,FALSE))</f>
        <v/>
      </c>
      <c r="B180" s="137" t="str">
        <f>IF(E180="","",VLOOKUP('Opći dio'!$C$3,'Opći dio'!$L$6:$U$137,9,FALSE))</f>
        <v/>
      </c>
      <c r="C180" s="184" t="str">
        <f t="shared" si="10"/>
        <v/>
      </c>
      <c r="D180" s="136" t="str">
        <f t="shared" si="11"/>
        <v/>
      </c>
      <c r="E180" s="148"/>
      <c r="F180" s="188" t="str">
        <f t="shared" si="12"/>
        <v/>
      </c>
      <c r="G180" s="182"/>
      <c r="H180" s="182"/>
      <c r="I180" s="182"/>
      <c r="K180" s="139" t="str">
        <f t="shared" si="13"/>
        <v/>
      </c>
      <c r="L180" s="139" t="str">
        <f t="shared" si="14"/>
        <v/>
      </c>
    </row>
    <row r="181" spans="1:12">
      <c r="A181" s="137" t="str">
        <f>IF(E181="","",VLOOKUP('Opći dio'!$C$3,'Opći dio'!$L$6:$U$137,10,FALSE))</f>
        <v/>
      </c>
      <c r="B181" s="137" t="str">
        <f>IF(E181="","",VLOOKUP('Opći dio'!$C$3,'Opći dio'!$L$6:$U$137,9,FALSE))</f>
        <v/>
      </c>
      <c r="C181" s="184" t="str">
        <f t="shared" si="10"/>
        <v/>
      </c>
      <c r="D181" s="136" t="str">
        <f t="shared" si="11"/>
        <v/>
      </c>
      <c r="E181" s="148"/>
      <c r="F181" s="188" t="str">
        <f t="shared" si="12"/>
        <v/>
      </c>
      <c r="G181" s="182"/>
      <c r="H181" s="182"/>
      <c r="I181" s="182"/>
      <c r="K181" s="139" t="str">
        <f t="shared" si="13"/>
        <v/>
      </c>
      <c r="L181" s="139" t="str">
        <f t="shared" si="14"/>
        <v/>
      </c>
    </row>
    <row r="182" spans="1:12">
      <c r="A182" s="137" t="str">
        <f>IF(E182="","",VLOOKUP('Opći dio'!$C$3,'Opći dio'!$L$6:$U$137,10,FALSE))</f>
        <v/>
      </c>
      <c r="B182" s="137" t="str">
        <f>IF(E182="","",VLOOKUP('Opći dio'!$C$3,'Opći dio'!$L$6:$U$137,9,FALSE))</f>
        <v/>
      </c>
      <c r="C182" s="184" t="str">
        <f t="shared" si="10"/>
        <v/>
      </c>
      <c r="D182" s="136" t="str">
        <f t="shared" si="11"/>
        <v/>
      </c>
      <c r="E182" s="148"/>
      <c r="F182" s="188" t="str">
        <f t="shared" si="12"/>
        <v/>
      </c>
      <c r="G182" s="182"/>
      <c r="H182" s="182"/>
      <c r="I182" s="182"/>
      <c r="K182" s="139" t="str">
        <f t="shared" si="13"/>
        <v/>
      </c>
      <c r="L182" s="139" t="str">
        <f t="shared" si="14"/>
        <v/>
      </c>
    </row>
    <row r="183" spans="1:12">
      <c r="A183" s="137" t="str">
        <f>IF(E183="","",VLOOKUP('Opći dio'!$C$3,'Opći dio'!$L$6:$U$137,10,FALSE))</f>
        <v/>
      </c>
      <c r="B183" s="137" t="str">
        <f>IF(E183="","",VLOOKUP('Opći dio'!$C$3,'Opći dio'!$L$6:$U$137,9,FALSE))</f>
        <v/>
      </c>
      <c r="C183" s="184" t="str">
        <f t="shared" si="10"/>
        <v/>
      </c>
      <c r="D183" s="136" t="str">
        <f t="shared" si="11"/>
        <v/>
      </c>
      <c r="E183" s="148"/>
      <c r="F183" s="188" t="str">
        <f t="shared" si="12"/>
        <v/>
      </c>
      <c r="G183" s="182"/>
      <c r="H183" s="182"/>
      <c r="I183" s="182"/>
      <c r="K183" s="139" t="str">
        <f t="shared" si="13"/>
        <v/>
      </c>
      <c r="L183" s="139" t="str">
        <f t="shared" si="14"/>
        <v/>
      </c>
    </row>
    <row r="184" spans="1:12">
      <c r="A184" s="137" t="str">
        <f>IF(E184="","",VLOOKUP('Opći dio'!$C$3,'Opći dio'!$L$6:$U$137,10,FALSE))</f>
        <v/>
      </c>
      <c r="B184" s="137" t="str">
        <f>IF(E184="","",VLOOKUP('Opći dio'!$C$3,'Opći dio'!$L$6:$U$137,9,FALSE))</f>
        <v/>
      </c>
      <c r="C184" s="184" t="str">
        <f t="shared" si="10"/>
        <v/>
      </c>
      <c r="D184" s="136" t="str">
        <f t="shared" si="11"/>
        <v/>
      </c>
      <c r="E184" s="148"/>
      <c r="F184" s="188" t="str">
        <f t="shared" si="12"/>
        <v/>
      </c>
      <c r="G184" s="182"/>
      <c r="H184" s="182"/>
      <c r="I184" s="182"/>
      <c r="K184" s="139" t="str">
        <f t="shared" si="13"/>
        <v/>
      </c>
      <c r="L184" s="139" t="str">
        <f t="shared" si="14"/>
        <v/>
      </c>
    </row>
    <row r="185" spans="1:12">
      <c r="A185" s="137" t="str">
        <f>IF(E185="","",VLOOKUP('Opći dio'!$C$3,'Opći dio'!$L$6:$U$137,10,FALSE))</f>
        <v/>
      </c>
      <c r="B185" s="137" t="str">
        <f>IF(E185="","",VLOOKUP('Opći dio'!$C$3,'Opći dio'!$L$6:$U$137,9,FALSE))</f>
        <v/>
      </c>
      <c r="C185" s="184" t="str">
        <f t="shared" si="10"/>
        <v/>
      </c>
      <c r="D185" s="136" t="str">
        <f t="shared" si="11"/>
        <v/>
      </c>
      <c r="E185" s="148"/>
      <c r="F185" s="188" t="str">
        <f t="shared" si="12"/>
        <v/>
      </c>
      <c r="G185" s="182"/>
      <c r="H185" s="182"/>
      <c r="I185" s="182"/>
      <c r="K185" s="139" t="str">
        <f t="shared" si="13"/>
        <v/>
      </c>
      <c r="L185" s="139" t="str">
        <f t="shared" si="14"/>
        <v/>
      </c>
    </row>
    <row r="186" spans="1:12">
      <c r="A186" s="137" t="str">
        <f>IF(E186="","",VLOOKUP('Opći dio'!$C$3,'Opći dio'!$L$6:$U$137,10,FALSE))</f>
        <v/>
      </c>
      <c r="B186" s="137" t="str">
        <f>IF(E186="","",VLOOKUP('Opći dio'!$C$3,'Opći dio'!$L$6:$U$137,9,FALSE))</f>
        <v/>
      </c>
      <c r="C186" s="184" t="str">
        <f t="shared" si="10"/>
        <v/>
      </c>
      <c r="D186" s="136" t="str">
        <f t="shared" si="11"/>
        <v/>
      </c>
      <c r="E186" s="148"/>
      <c r="F186" s="188" t="str">
        <f t="shared" si="12"/>
        <v/>
      </c>
      <c r="G186" s="182"/>
      <c r="H186" s="182"/>
      <c r="I186" s="182"/>
      <c r="K186" s="139" t="str">
        <f t="shared" si="13"/>
        <v/>
      </c>
      <c r="L186" s="139" t="str">
        <f t="shared" si="14"/>
        <v/>
      </c>
    </row>
    <row r="187" spans="1:12">
      <c r="A187" s="137" t="str">
        <f>IF(E187="","",VLOOKUP('Opći dio'!$C$3,'Opći dio'!$L$6:$U$137,10,FALSE))</f>
        <v/>
      </c>
      <c r="B187" s="137" t="str">
        <f>IF(E187="","",VLOOKUP('Opći dio'!$C$3,'Opći dio'!$L$6:$U$137,9,FALSE))</f>
        <v/>
      </c>
      <c r="C187" s="184" t="str">
        <f t="shared" si="10"/>
        <v/>
      </c>
      <c r="D187" s="136" t="str">
        <f t="shared" si="11"/>
        <v/>
      </c>
      <c r="E187" s="148"/>
      <c r="F187" s="188" t="str">
        <f t="shared" si="12"/>
        <v/>
      </c>
      <c r="G187" s="182"/>
      <c r="H187" s="182"/>
      <c r="I187" s="182"/>
      <c r="K187" s="139" t="str">
        <f t="shared" si="13"/>
        <v/>
      </c>
      <c r="L187" s="139" t="str">
        <f t="shared" si="14"/>
        <v/>
      </c>
    </row>
    <row r="188" spans="1:12">
      <c r="A188" s="137" t="str">
        <f>IF(E188="","",VLOOKUP('Opći dio'!$C$3,'Opći dio'!$L$6:$U$137,10,FALSE))</f>
        <v/>
      </c>
      <c r="B188" s="137" t="str">
        <f>IF(E188="","",VLOOKUP('Opći dio'!$C$3,'Opći dio'!$L$6:$U$137,9,FALSE))</f>
        <v/>
      </c>
      <c r="C188" s="184" t="str">
        <f t="shared" si="10"/>
        <v/>
      </c>
      <c r="D188" s="136" t="str">
        <f t="shared" si="11"/>
        <v/>
      </c>
      <c r="E188" s="148"/>
      <c r="F188" s="188" t="str">
        <f t="shared" si="12"/>
        <v/>
      </c>
      <c r="G188" s="182"/>
      <c r="H188" s="182"/>
      <c r="I188" s="182"/>
      <c r="K188" s="139" t="str">
        <f t="shared" si="13"/>
        <v/>
      </c>
      <c r="L188" s="139" t="str">
        <f t="shared" si="14"/>
        <v/>
      </c>
    </row>
    <row r="189" spans="1:12">
      <c r="A189" s="137" t="str">
        <f>IF(E189="","",VLOOKUP('Opći dio'!$C$3,'Opći dio'!$L$6:$U$137,10,FALSE))</f>
        <v/>
      </c>
      <c r="B189" s="137" t="str">
        <f>IF(E189="","",VLOOKUP('Opći dio'!$C$3,'Opći dio'!$L$6:$U$137,9,FALSE))</f>
        <v/>
      </c>
      <c r="C189" s="184" t="str">
        <f t="shared" si="10"/>
        <v/>
      </c>
      <c r="D189" s="136" t="str">
        <f t="shared" si="11"/>
        <v/>
      </c>
      <c r="E189" s="148"/>
      <c r="F189" s="188" t="str">
        <f t="shared" si="12"/>
        <v/>
      </c>
      <c r="G189" s="182"/>
      <c r="H189" s="182"/>
      <c r="I189" s="182"/>
      <c r="K189" s="139" t="str">
        <f t="shared" si="13"/>
        <v/>
      </c>
      <c r="L189" s="139" t="str">
        <f t="shared" si="14"/>
        <v/>
      </c>
    </row>
    <row r="190" spans="1:12">
      <c r="A190" s="137" t="str">
        <f>IF(E190="","",VLOOKUP('Opći dio'!$C$3,'Opći dio'!$L$6:$U$137,10,FALSE))</f>
        <v/>
      </c>
      <c r="B190" s="137" t="str">
        <f>IF(E190="","",VLOOKUP('Opći dio'!$C$3,'Opći dio'!$L$6:$U$137,9,FALSE))</f>
        <v/>
      </c>
      <c r="C190" s="184" t="str">
        <f t="shared" si="10"/>
        <v/>
      </c>
      <c r="D190" s="136" t="str">
        <f t="shared" si="11"/>
        <v/>
      </c>
      <c r="E190" s="148"/>
      <c r="F190" s="188" t="str">
        <f t="shared" si="12"/>
        <v/>
      </c>
      <c r="G190" s="182"/>
      <c r="H190" s="182"/>
      <c r="I190" s="182"/>
      <c r="K190" s="139" t="str">
        <f t="shared" si="13"/>
        <v/>
      </c>
      <c r="L190" s="139" t="str">
        <f t="shared" si="14"/>
        <v/>
      </c>
    </row>
    <row r="191" spans="1:12">
      <c r="A191" s="137" t="str">
        <f>IF(E191="","",VLOOKUP('Opći dio'!$C$3,'Opći dio'!$L$6:$U$137,10,FALSE))</f>
        <v/>
      </c>
      <c r="B191" s="137" t="str">
        <f>IF(E191="","",VLOOKUP('Opći dio'!$C$3,'Opći dio'!$L$6:$U$137,9,FALSE))</f>
        <v/>
      </c>
      <c r="C191" s="184" t="str">
        <f t="shared" si="10"/>
        <v/>
      </c>
      <c r="D191" s="136" t="str">
        <f t="shared" si="11"/>
        <v/>
      </c>
      <c r="E191" s="148"/>
      <c r="F191" s="188" t="str">
        <f t="shared" si="12"/>
        <v/>
      </c>
      <c r="G191" s="182"/>
      <c r="H191" s="182"/>
      <c r="I191" s="182"/>
      <c r="K191" s="139" t="str">
        <f t="shared" si="13"/>
        <v/>
      </c>
      <c r="L191" s="139" t="str">
        <f t="shared" si="14"/>
        <v/>
      </c>
    </row>
    <row r="192" spans="1:12">
      <c r="A192" s="137" t="str">
        <f>IF(E192="","",VLOOKUP('Opći dio'!$C$3,'Opći dio'!$L$6:$U$137,10,FALSE))</f>
        <v/>
      </c>
      <c r="B192" s="137" t="str">
        <f>IF(E192="","",VLOOKUP('Opći dio'!$C$3,'Opći dio'!$L$6:$U$137,9,FALSE))</f>
        <v/>
      </c>
      <c r="C192" s="184" t="str">
        <f t="shared" si="10"/>
        <v/>
      </c>
      <c r="D192" s="136" t="str">
        <f t="shared" si="11"/>
        <v/>
      </c>
      <c r="E192" s="148"/>
      <c r="F192" s="188" t="str">
        <f t="shared" si="12"/>
        <v/>
      </c>
      <c r="G192" s="182"/>
      <c r="H192" s="182"/>
      <c r="I192" s="182"/>
      <c r="K192" s="139" t="str">
        <f t="shared" si="13"/>
        <v/>
      </c>
      <c r="L192" s="139" t="str">
        <f t="shared" si="14"/>
        <v/>
      </c>
    </row>
    <row r="193" spans="1:12">
      <c r="A193" s="137" t="str">
        <f>IF(E193="","",VLOOKUP('Opći dio'!$C$3,'Opći dio'!$L$6:$U$137,10,FALSE))</f>
        <v/>
      </c>
      <c r="B193" s="137" t="str">
        <f>IF(E193="","",VLOOKUP('Opći dio'!$C$3,'Opći dio'!$L$6:$U$137,9,FALSE))</f>
        <v/>
      </c>
      <c r="C193" s="184" t="str">
        <f t="shared" si="10"/>
        <v/>
      </c>
      <c r="D193" s="136" t="str">
        <f t="shared" si="11"/>
        <v/>
      </c>
      <c r="E193" s="148"/>
      <c r="F193" s="188" t="str">
        <f t="shared" si="12"/>
        <v/>
      </c>
      <c r="G193" s="182"/>
      <c r="H193" s="182"/>
      <c r="I193" s="182"/>
      <c r="K193" s="139" t="str">
        <f t="shared" si="13"/>
        <v/>
      </c>
      <c r="L193" s="139" t="str">
        <f t="shared" si="14"/>
        <v/>
      </c>
    </row>
    <row r="194" spans="1:12">
      <c r="A194" s="137" t="str">
        <f>IF(E194="","",VLOOKUP('Opći dio'!$C$3,'Opći dio'!$L$6:$U$137,10,FALSE))</f>
        <v/>
      </c>
      <c r="B194" s="137" t="str">
        <f>IF(E194="","",VLOOKUP('Opći dio'!$C$3,'Opći dio'!$L$6:$U$137,9,FALSE))</f>
        <v/>
      </c>
      <c r="C194" s="184" t="str">
        <f t="shared" si="10"/>
        <v/>
      </c>
      <c r="D194" s="136" t="str">
        <f t="shared" si="11"/>
        <v/>
      </c>
      <c r="E194" s="148"/>
      <c r="F194" s="188" t="str">
        <f t="shared" si="12"/>
        <v/>
      </c>
      <c r="G194" s="182"/>
      <c r="H194" s="182"/>
      <c r="I194" s="182"/>
      <c r="K194" s="139" t="str">
        <f t="shared" si="13"/>
        <v/>
      </c>
      <c r="L194" s="139" t="str">
        <f t="shared" si="14"/>
        <v/>
      </c>
    </row>
    <row r="195" spans="1:12">
      <c r="A195" s="137" t="str">
        <f>IF(E195="","",VLOOKUP('Opći dio'!$C$3,'Opći dio'!$L$6:$U$137,10,FALSE))</f>
        <v/>
      </c>
      <c r="B195" s="137" t="str">
        <f>IF(E195="","",VLOOKUP('Opći dio'!$C$3,'Opći dio'!$L$6:$U$137,9,FALSE))</f>
        <v/>
      </c>
      <c r="C195" s="184" t="str">
        <f t="shared" si="10"/>
        <v/>
      </c>
      <c r="D195" s="136" t="str">
        <f t="shared" si="11"/>
        <v/>
      </c>
      <c r="E195" s="148"/>
      <c r="F195" s="188" t="str">
        <f t="shared" si="12"/>
        <v/>
      </c>
      <c r="G195" s="182"/>
      <c r="H195" s="182"/>
      <c r="I195" s="182"/>
      <c r="K195" s="139" t="str">
        <f t="shared" si="13"/>
        <v/>
      </c>
      <c r="L195" s="139" t="str">
        <f t="shared" si="14"/>
        <v/>
      </c>
    </row>
    <row r="196" spans="1:12">
      <c r="A196" s="137" t="str">
        <f>IF(E196="","",VLOOKUP('Opći dio'!$C$3,'Opći dio'!$L$6:$U$137,10,FALSE))</f>
        <v/>
      </c>
      <c r="B196" s="137" t="str">
        <f>IF(E196="","",VLOOKUP('Opći dio'!$C$3,'Opći dio'!$L$6:$U$137,9,FALSE))</f>
        <v/>
      </c>
      <c r="C196" s="184" t="str">
        <f t="shared" ref="C196:C259" si="15">IFERROR(VLOOKUP(E196,$Q$6:$T$105,3,FALSE),"")</f>
        <v/>
      </c>
      <c r="D196" s="136" t="str">
        <f t="shared" ref="D196:D259" si="16">IFERROR(VLOOKUP(E196,$Q$6:$T$105,4,FALSE),"")</f>
        <v/>
      </c>
      <c r="E196" s="148"/>
      <c r="F196" s="188" t="str">
        <f t="shared" ref="F196:F259" si="17">IFERROR(VLOOKUP(E196,$Q$6:$T$105,2,FALSE),"")</f>
        <v/>
      </c>
      <c r="G196" s="182"/>
      <c r="H196" s="182"/>
      <c r="I196" s="182"/>
      <c r="K196" s="139" t="str">
        <f t="shared" ref="K196:K259" si="18">LEFT(E196,3)</f>
        <v/>
      </c>
      <c r="L196" s="139" t="str">
        <f t="shared" ref="L196:L259" si="19">LEFT(E196,2)</f>
        <v/>
      </c>
    </row>
    <row r="197" spans="1:12">
      <c r="A197" s="137" t="str">
        <f>IF(E197="","",VLOOKUP('Opći dio'!$C$3,'Opći dio'!$L$6:$U$137,10,FALSE))</f>
        <v/>
      </c>
      <c r="B197" s="137" t="str">
        <f>IF(E197="","",VLOOKUP('Opći dio'!$C$3,'Opći dio'!$L$6:$U$137,9,FALSE))</f>
        <v/>
      </c>
      <c r="C197" s="184" t="str">
        <f t="shared" si="15"/>
        <v/>
      </c>
      <c r="D197" s="136" t="str">
        <f t="shared" si="16"/>
        <v/>
      </c>
      <c r="E197" s="148"/>
      <c r="F197" s="188" t="str">
        <f t="shared" si="17"/>
        <v/>
      </c>
      <c r="G197" s="182"/>
      <c r="H197" s="182"/>
      <c r="I197" s="182"/>
      <c r="K197" s="139" t="str">
        <f t="shared" si="18"/>
        <v/>
      </c>
      <c r="L197" s="139" t="str">
        <f t="shared" si="19"/>
        <v/>
      </c>
    </row>
    <row r="198" spans="1:12">
      <c r="A198" s="137" t="str">
        <f>IF(E198="","",VLOOKUP('Opći dio'!$C$3,'Opći dio'!$L$6:$U$137,10,FALSE))</f>
        <v/>
      </c>
      <c r="B198" s="137" t="str">
        <f>IF(E198="","",VLOOKUP('Opći dio'!$C$3,'Opći dio'!$L$6:$U$137,9,FALSE))</f>
        <v/>
      </c>
      <c r="C198" s="184" t="str">
        <f t="shared" si="15"/>
        <v/>
      </c>
      <c r="D198" s="136" t="str">
        <f t="shared" si="16"/>
        <v/>
      </c>
      <c r="E198" s="148"/>
      <c r="F198" s="188" t="str">
        <f t="shared" si="17"/>
        <v/>
      </c>
      <c r="G198" s="182"/>
      <c r="H198" s="182"/>
      <c r="I198" s="182"/>
      <c r="K198" s="139" t="str">
        <f t="shared" si="18"/>
        <v/>
      </c>
      <c r="L198" s="139" t="str">
        <f t="shared" si="19"/>
        <v/>
      </c>
    </row>
    <row r="199" spans="1:12">
      <c r="A199" s="137" t="str">
        <f>IF(E199="","",VLOOKUP('Opći dio'!$C$3,'Opći dio'!$L$6:$U$137,10,FALSE))</f>
        <v/>
      </c>
      <c r="B199" s="137" t="str">
        <f>IF(E199="","",VLOOKUP('Opći dio'!$C$3,'Opći dio'!$L$6:$U$137,9,FALSE))</f>
        <v/>
      </c>
      <c r="C199" s="184" t="str">
        <f t="shared" si="15"/>
        <v/>
      </c>
      <c r="D199" s="136" t="str">
        <f t="shared" si="16"/>
        <v/>
      </c>
      <c r="E199" s="148"/>
      <c r="F199" s="188" t="str">
        <f t="shared" si="17"/>
        <v/>
      </c>
      <c r="G199" s="182"/>
      <c r="H199" s="182"/>
      <c r="I199" s="182"/>
      <c r="K199" s="139" t="str">
        <f t="shared" si="18"/>
        <v/>
      </c>
      <c r="L199" s="139" t="str">
        <f t="shared" si="19"/>
        <v/>
      </c>
    </row>
    <row r="200" spans="1:12">
      <c r="A200" s="137" t="str">
        <f>IF(E200="","",VLOOKUP('Opći dio'!$C$3,'Opći dio'!$L$6:$U$137,10,FALSE))</f>
        <v/>
      </c>
      <c r="B200" s="137" t="str">
        <f>IF(E200="","",VLOOKUP('Opći dio'!$C$3,'Opći dio'!$L$6:$U$137,9,FALSE))</f>
        <v/>
      </c>
      <c r="C200" s="184" t="str">
        <f t="shared" si="15"/>
        <v/>
      </c>
      <c r="D200" s="136" t="str">
        <f t="shared" si="16"/>
        <v/>
      </c>
      <c r="E200" s="148"/>
      <c r="F200" s="188" t="str">
        <f t="shared" si="17"/>
        <v/>
      </c>
      <c r="G200" s="182"/>
      <c r="H200" s="182"/>
      <c r="I200" s="182"/>
      <c r="K200" s="139" t="str">
        <f t="shared" si="18"/>
        <v/>
      </c>
      <c r="L200" s="139" t="str">
        <f t="shared" si="19"/>
        <v/>
      </c>
    </row>
    <row r="201" spans="1:12">
      <c r="A201" s="137" t="str">
        <f>IF(E201="","",VLOOKUP('Opći dio'!$C$3,'Opći dio'!$L$6:$U$137,10,FALSE))</f>
        <v/>
      </c>
      <c r="B201" s="137" t="str">
        <f>IF(E201="","",VLOOKUP('Opći dio'!$C$3,'Opći dio'!$L$6:$U$137,9,FALSE))</f>
        <v/>
      </c>
      <c r="C201" s="184" t="str">
        <f t="shared" si="15"/>
        <v/>
      </c>
      <c r="D201" s="136" t="str">
        <f t="shared" si="16"/>
        <v/>
      </c>
      <c r="E201" s="148"/>
      <c r="F201" s="188" t="str">
        <f t="shared" si="17"/>
        <v/>
      </c>
      <c r="G201" s="182"/>
      <c r="H201" s="182"/>
      <c r="I201" s="182"/>
      <c r="K201" s="139" t="str">
        <f t="shared" si="18"/>
        <v/>
      </c>
      <c r="L201" s="139" t="str">
        <f t="shared" si="19"/>
        <v/>
      </c>
    </row>
    <row r="202" spans="1:12">
      <c r="A202" s="137" t="str">
        <f>IF(E202="","",VLOOKUP('Opći dio'!$C$3,'Opći dio'!$L$6:$U$137,10,FALSE))</f>
        <v/>
      </c>
      <c r="B202" s="137" t="str">
        <f>IF(E202="","",VLOOKUP('Opći dio'!$C$3,'Opći dio'!$L$6:$U$137,9,FALSE))</f>
        <v/>
      </c>
      <c r="C202" s="184" t="str">
        <f t="shared" si="15"/>
        <v/>
      </c>
      <c r="D202" s="136" t="str">
        <f t="shared" si="16"/>
        <v/>
      </c>
      <c r="E202" s="148"/>
      <c r="F202" s="188" t="str">
        <f t="shared" si="17"/>
        <v/>
      </c>
      <c r="G202" s="182"/>
      <c r="H202" s="182"/>
      <c r="I202" s="182"/>
      <c r="K202" s="139" t="str">
        <f t="shared" si="18"/>
        <v/>
      </c>
      <c r="L202" s="139" t="str">
        <f t="shared" si="19"/>
        <v/>
      </c>
    </row>
    <row r="203" spans="1:12">
      <c r="A203" s="137" t="str">
        <f>IF(E203="","",VLOOKUP('Opći dio'!$C$3,'Opći dio'!$L$6:$U$137,10,FALSE))</f>
        <v/>
      </c>
      <c r="B203" s="137" t="str">
        <f>IF(E203="","",VLOOKUP('Opći dio'!$C$3,'Opći dio'!$L$6:$U$137,9,FALSE))</f>
        <v/>
      </c>
      <c r="C203" s="184" t="str">
        <f t="shared" si="15"/>
        <v/>
      </c>
      <c r="D203" s="136" t="str">
        <f t="shared" si="16"/>
        <v/>
      </c>
      <c r="E203" s="148"/>
      <c r="F203" s="188" t="str">
        <f t="shared" si="17"/>
        <v/>
      </c>
      <c r="G203" s="182"/>
      <c r="H203" s="182"/>
      <c r="I203" s="182"/>
      <c r="K203" s="139" t="str">
        <f t="shared" si="18"/>
        <v/>
      </c>
      <c r="L203" s="139" t="str">
        <f t="shared" si="19"/>
        <v/>
      </c>
    </row>
    <row r="204" spans="1:12">
      <c r="A204" s="137" t="str">
        <f>IF(E204="","",VLOOKUP('Opći dio'!$C$3,'Opći dio'!$L$6:$U$137,10,FALSE))</f>
        <v/>
      </c>
      <c r="B204" s="137" t="str">
        <f>IF(E204="","",VLOOKUP('Opći dio'!$C$3,'Opći dio'!$L$6:$U$137,9,FALSE))</f>
        <v/>
      </c>
      <c r="C204" s="184" t="str">
        <f t="shared" si="15"/>
        <v/>
      </c>
      <c r="D204" s="136" t="str">
        <f t="shared" si="16"/>
        <v/>
      </c>
      <c r="E204" s="148"/>
      <c r="F204" s="188" t="str">
        <f t="shared" si="17"/>
        <v/>
      </c>
      <c r="G204" s="182"/>
      <c r="H204" s="182"/>
      <c r="I204" s="182"/>
      <c r="K204" s="139" t="str">
        <f t="shared" si="18"/>
        <v/>
      </c>
      <c r="L204" s="139" t="str">
        <f t="shared" si="19"/>
        <v/>
      </c>
    </row>
    <row r="205" spans="1:12">
      <c r="A205" s="137" t="str">
        <f>IF(E205="","",VLOOKUP('Opći dio'!$C$3,'Opći dio'!$L$6:$U$137,10,FALSE))</f>
        <v/>
      </c>
      <c r="B205" s="137" t="str">
        <f>IF(E205="","",VLOOKUP('Opći dio'!$C$3,'Opći dio'!$L$6:$U$137,9,FALSE))</f>
        <v/>
      </c>
      <c r="C205" s="184" t="str">
        <f t="shared" si="15"/>
        <v/>
      </c>
      <c r="D205" s="136" t="str">
        <f t="shared" si="16"/>
        <v/>
      </c>
      <c r="E205" s="148"/>
      <c r="F205" s="188" t="str">
        <f t="shared" si="17"/>
        <v/>
      </c>
      <c r="G205" s="182"/>
      <c r="H205" s="182"/>
      <c r="I205" s="182"/>
      <c r="K205" s="139" t="str">
        <f t="shared" si="18"/>
        <v/>
      </c>
      <c r="L205" s="139" t="str">
        <f t="shared" si="19"/>
        <v/>
      </c>
    </row>
    <row r="206" spans="1:12">
      <c r="A206" s="137" t="str">
        <f>IF(E206="","",VLOOKUP('Opći dio'!$C$3,'Opći dio'!$L$6:$U$137,10,FALSE))</f>
        <v/>
      </c>
      <c r="B206" s="137" t="str">
        <f>IF(E206="","",VLOOKUP('Opći dio'!$C$3,'Opći dio'!$L$6:$U$137,9,FALSE))</f>
        <v/>
      </c>
      <c r="C206" s="184" t="str">
        <f t="shared" si="15"/>
        <v/>
      </c>
      <c r="D206" s="136" t="str">
        <f t="shared" si="16"/>
        <v/>
      </c>
      <c r="E206" s="148"/>
      <c r="F206" s="188" t="str">
        <f t="shared" si="17"/>
        <v/>
      </c>
      <c r="G206" s="182"/>
      <c r="H206" s="182"/>
      <c r="I206" s="182"/>
      <c r="K206" s="139" t="str">
        <f t="shared" si="18"/>
        <v/>
      </c>
      <c r="L206" s="139" t="str">
        <f t="shared" si="19"/>
        <v/>
      </c>
    </row>
    <row r="207" spans="1:12">
      <c r="A207" s="137" t="str">
        <f>IF(E207="","",VLOOKUP('Opći dio'!$C$3,'Opći dio'!$L$6:$U$137,10,FALSE))</f>
        <v/>
      </c>
      <c r="B207" s="137" t="str">
        <f>IF(E207="","",VLOOKUP('Opći dio'!$C$3,'Opći dio'!$L$6:$U$137,9,FALSE))</f>
        <v/>
      </c>
      <c r="C207" s="184" t="str">
        <f t="shared" si="15"/>
        <v/>
      </c>
      <c r="D207" s="136" t="str">
        <f t="shared" si="16"/>
        <v/>
      </c>
      <c r="E207" s="148"/>
      <c r="F207" s="188" t="str">
        <f t="shared" si="17"/>
        <v/>
      </c>
      <c r="G207" s="182"/>
      <c r="H207" s="182"/>
      <c r="I207" s="182"/>
      <c r="K207" s="139" t="str">
        <f t="shared" si="18"/>
        <v/>
      </c>
      <c r="L207" s="139" t="str">
        <f t="shared" si="19"/>
        <v/>
      </c>
    </row>
    <row r="208" spans="1:12">
      <c r="A208" s="137" t="str">
        <f>IF(E208="","",VLOOKUP('Opći dio'!$C$3,'Opći dio'!$L$6:$U$137,10,FALSE))</f>
        <v/>
      </c>
      <c r="B208" s="137" t="str">
        <f>IF(E208="","",VLOOKUP('Opći dio'!$C$3,'Opći dio'!$L$6:$U$137,9,FALSE))</f>
        <v/>
      </c>
      <c r="C208" s="184" t="str">
        <f t="shared" si="15"/>
        <v/>
      </c>
      <c r="D208" s="136" t="str">
        <f t="shared" si="16"/>
        <v/>
      </c>
      <c r="E208" s="148"/>
      <c r="F208" s="188" t="str">
        <f t="shared" si="17"/>
        <v/>
      </c>
      <c r="G208" s="182"/>
      <c r="H208" s="182"/>
      <c r="I208" s="182"/>
      <c r="K208" s="139" t="str">
        <f t="shared" si="18"/>
        <v/>
      </c>
      <c r="L208" s="139" t="str">
        <f t="shared" si="19"/>
        <v/>
      </c>
    </row>
    <row r="209" spans="1:12">
      <c r="A209" s="137" t="str">
        <f>IF(E209="","",VLOOKUP('Opći dio'!$C$3,'Opći dio'!$L$6:$U$137,10,FALSE))</f>
        <v/>
      </c>
      <c r="B209" s="137" t="str">
        <f>IF(E209="","",VLOOKUP('Opći dio'!$C$3,'Opći dio'!$L$6:$U$137,9,FALSE))</f>
        <v/>
      </c>
      <c r="C209" s="184" t="str">
        <f t="shared" si="15"/>
        <v/>
      </c>
      <c r="D209" s="136" t="str">
        <f t="shared" si="16"/>
        <v/>
      </c>
      <c r="E209" s="148"/>
      <c r="F209" s="188" t="str">
        <f t="shared" si="17"/>
        <v/>
      </c>
      <c r="G209" s="182"/>
      <c r="H209" s="182"/>
      <c r="I209" s="182"/>
      <c r="K209" s="139" t="str">
        <f t="shared" si="18"/>
        <v/>
      </c>
      <c r="L209" s="139" t="str">
        <f t="shared" si="19"/>
        <v/>
      </c>
    </row>
    <row r="210" spans="1:12">
      <c r="A210" s="137" t="str">
        <f>IF(E210="","",VLOOKUP('Opći dio'!$C$3,'Opći dio'!$L$6:$U$137,10,FALSE))</f>
        <v/>
      </c>
      <c r="B210" s="137" t="str">
        <f>IF(E210="","",VLOOKUP('Opći dio'!$C$3,'Opći dio'!$L$6:$U$137,9,FALSE))</f>
        <v/>
      </c>
      <c r="C210" s="184" t="str">
        <f t="shared" si="15"/>
        <v/>
      </c>
      <c r="D210" s="136" t="str">
        <f t="shared" si="16"/>
        <v/>
      </c>
      <c r="E210" s="148"/>
      <c r="F210" s="188" t="str">
        <f t="shared" si="17"/>
        <v/>
      </c>
      <c r="G210" s="182"/>
      <c r="H210" s="182"/>
      <c r="I210" s="182"/>
      <c r="K210" s="139" t="str">
        <f t="shared" si="18"/>
        <v/>
      </c>
      <c r="L210" s="139" t="str">
        <f t="shared" si="19"/>
        <v/>
      </c>
    </row>
    <row r="211" spans="1:12">
      <c r="A211" s="137" t="str">
        <f>IF(E211="","",VLOOKUP('Opći dio'!$C$3,'Opći dio'!$L$6:$U$137,10,FALSE))</f>
        <v/>
      </c>
      <c r="B211" s="137" t="str">
        <f>IF(E211="","",VLOOKUP('Opći dio'!$C$3,'Opći dio'!$L$6:$U$137,9,FALSE))</f>
        <v/>
      </c>
      <c r="C211" s="184" t="str">
        <f t="shared" si="15"/>
        <v/>
      </c>
      <c r="D211" s="136" t="str">
        <f t="shared" si="16"/>
        <v/>
      </c>
      <c r="E211" s="148"/>
      <c r="F211" s="188" t="str">
        <f t="shared" si="17"/>
        <v/>
      </c>
      <c r="G211" s="182"/>
      <c r="H211" s="182"/>
      <c r="I211" s="182"/>
      <c r="K211" s="139" t="str">
        <f t="shared" si="18"/>
        <v/>
      </c>
      <c r="L211" s="139" t="str">
        <f t="shared" si="19"/>
        <v/>
      </c>
    </row>
    <row r="212" spans="1:12">
      <c r="A212" s="137" t="str">
        <f>IF(E212="","",VLOOKUP('Opći dio'!$C$3,'Opći dio'!$L$6:$U$137,10,FALSE))</f>
        <v/>
      </c>
      <c r="B212" s="137" t="str">
        <f>IF(E212="","",VLOOKUP('Opći dio'!$C$3,'Opći dio'!$L$6:$U$137,9,FALSE))</f>
        <v/>
      </c>
      <c r="C212" s="184" t="str">
        <f t="shared" si="15"/>
        <v/>
      </c>
      <c r="D212" s="136" t="str">
        <f t="shared" si="16"/>
        <v/>
      </c>
      <c r="E212" s="148"/>
      <c r="F212" s="188" t="str">
        <f t="shared" si="17"/>
        <v/>
      </c>
      <c r="G212" s="182"/>
      <c r="H212" s="182"/>
      <c r="I212" s="182"/>
      <c r="K212" s="139" t="str">
        <f t="shared" si="18"/>
        <v/>
      </c>
      <c r="L212" s="139" t="str">
        <f t="shared" si="19"/>
        <v/>
      </c>
    </row>
    <row r="213" spans="1:12">
      <c r="A213" s="137" t="str">
        <f>IF(E213="","",VLOOKUP('Opći dio'!$C$3,'Opći dio'!$L$6:$U$137,10,FALSE))</f>
        <v/>
      </c>
      <c r="B213" s="137" t="str">
        <f>IF(E213="","",VLOOKUP('Opći dio'!$C$3,'Opći dio'!$L$6:$U$137,9,FALSE))</f>
        <v/>
      </c>
      <c r="C213" s="184" t="str">
        <f t="shared" si="15"/>
        <v/>
      </c>
      <c r="D213" s="136" t="str">
        <f t="shared" si="16"/>
        <v/>
      </c>
      <c r="E213" s="148"/>
      <c r="F213" s="188" t="str">
        <f t="shared" si="17"/>
        <v/>
      </c>
      <c r="G213" s="182"/>
      <c r="H213" s="182"/>
      <c r="I213" s="182"/>
      <c r="K213" s="139" t="str">
        <f t="shared" si="18"/>
        <v/>
      </c>
      <c r="L213" s="139" t="str">
        <f t="shared" si="19"/>
        <v/>
      </c>
    </row>
    <row r="214" spans="1:12">
      <c r="A214" s="137" t="str">
        <f>IF(E214="","",VLOOKUP('Opći dio'!$C$3,'Opći dio'!$L$6:$U$137,10,FALSE))</f>
        <v/>
      </c>
      <c r="B214" s="137" t="str">
        <f>IF(E214="","",VLOOKUP('Opći dio'!$C$3,'Opći dio'!$L$6:$U$137,9,FALSE))</f>
        <v/>
      </c>
      <c r="C214" s="184" t="str">
        <f t="shared" si="15"/>
        <v/>
      </c>
      <c r="D214" s="136" t="str">
        <f t="shared" si="16"/>
        <v/>
      </c>
      <c r="E214" s="148"/>
      <c r="F214" s="188" t="str">
        <f t="shared" si="17"/>
        <v/>
      </c>
      <c r="G214" s="182"/>
      <c r="H214" s="182"/>
      <c r="I214" s="182"/>
      <c r="K214" s="139" t="str">
        <f t="shared" si="18"/>
        <v/>
      </c>
      <c r="L214" s="139" t="str">
        <f t="shared" si="19"/>
        <v/>
      </c>
    </row>
    <row r="215" spans="1:12">
      <c r="A215" s="137" t="str">
        <f>IF(E215="","",VLOOKUP('Opći dio'!$C$3,'Opći dio'!$L$6:$U$137,10,FALSE))</f>
        <v/>
      </c>
      <c r="B215" s="137" t="str">
        <f>IF(E215="","",VLOOKUP('Opći dio'!$C$3,'Opći dio'!$L$6:$U$137,9,FALSE))</f>
        <v/>
      </c>
      <c r="C215" s="184" t="str">
        <f t="shared" si="15"/>
        <v/>
      </c>
      <c r="D215" s="136" t="str">
        <f t="shared" si="16"/>
        <v/>
      </c>
      <c r="E215" s="148"/>
      <c r="F215" s="188" t="str">
        <f t="shared" si="17"/>
        <v/>
      </c>
      <c r="G215" s="182"/>
      <c r="H215" s="182"/>
      <c r="I215" s="182"/>
      <c r="K215" s="139" t="str">
        <f t="shared" si="18"/>
        <v/>
      </c>
      <c r="L215" s="139" t="str">
        <f t="shared" si="19"/>
        <v/>
      </c>
    </row>
    <row r="216" spans="1:12">
      <c r="A216" s="137" t="str">
        <f>IF(E216="","",VLOOKUP('Opći dio'!$C$3,'Opći dio'!$L$6:$U$137,10,FALSE))</f>
        <v/>
      </c>
      <c r="B216" s="137" t="str">
        <f>IF(E216="","",VLOOKUP('Opći dio'!$C$3,'Opći dio'!$L$6:$U$137,9,FALSE))</f>
        <v/>
      </c>
      <c r="C216" s="184" t="str">
        <f t="shared" si="15"/>
        <v/>
      </c>
      <c r="D216" s="136" t="str">
        <f t="shared" si="16"/>
        <v/>
      </c>
      <c r="E216" s="148"/>
      <c r="F216" s="188" t="str">
        <f t="shared" si="17"/>
        <v/>
      </c>
      <c r="G216" s="182"/>
      <c r="H216" s="182"/>
      <c r="I216" s="182"/>
      <c r="K216" s="139" t="str">
        <f t="shared" si="18"/>
        <v/>
      </c>
      <c r="L216" s="139" t="str">
        <f t="shared" si="19"/>
        <v/>
      </c>
    </row>
    <row r="217" spans="1:12">
      <c r="A217" s="137" t="str">
        <f>IF(E217="","",VLOOKUP('Opći dio'!$C$3,'Opći dio'!$L$6:$U$137,10,FALSE))</f>
        <v/>
      </c>
      <c r="B217" s="137" t="str">
        <f>IF(E217="","",VLOOKUP('Opći dio'!$C$3,'Opći dio'!$L$6:$U$137,9,FALSE))</f>
        <v/>
      </c>
      <c r="C217" s="184" t="str">
        <f t="shared" si="15"/>
        <v/>
      </c>
      <c r="D217" s="136" t="str">
        <f t="shared" si="16"/>
        <v/>
      </c>
      <c r="E217" s="148"/>
      <c r="F217" s="188" t="str">
        <f t="shared" si="17"/>
        <v/>
      </c>
      <c r="G217" s="182"/>
      <c r="H217" s="182"/>
      <c r="I217" s="182"/>
      <c r="K217" s="139" t="str">
        <f t="shared" si="18"/>
        <v/>
      </c>
      <c r="L217" s="139" t="str">
        <f t="shared" si="19"/>
        <v/>
      </c>
    </row>
    <row r="218" spans="1:12">
      <c r="A218" s="137" t="str">
        <f>IF(E218="","",VLOOKUP('Opći dio'!$C$3,'Opći dio'!$L$6:$U$137,10,FALSE))</f>
        <v/>
      </c>
      <c r="B218" s="137" t="str">
        <f>IF(E218="","",VLOOKUP('Opći dio'!$C$3,'Opći dio'!$L$6:$U$137,9,FALSE))</f>
        <v/>
      </c>
      <c r="C218" s="184" t="str">
        <f t="shared" si="15"/>
        <v/>
      </c>
      <c r="D218" s="136" t="str">
        <f t="shared" si="16"/>
        <v/>
      </c>
      <c r="E218" s="148"/>
      <c r="F218" s="188" t="str">
        <f t="shared" si="17"/>
        <v/>
      </c>
      <c r="G218" s="182"/>
      <c r="H218" s="182"/>
      <c r="I218" s="182"/>
      <c r="K218" s="139" t="str">
        <f t="shared" si="18"/>
        <v/>
      </c>
      <c r="L218" s="139" t="str">
        <f t="shared" si="19"/>
        <v/>
      </c>
    </row>
    <row r="219" spans="1:12">
      <c r="A219" s="137" t="str">
        <f>IF(E219="","",VLOOKUP('Opći dio'!$C$3,'Opći dio'!$L$6:$U$137,10,FALSE))</f>
        <v/>
      </c>
      <c r="B219" s="137" t="str">
        <f>IF(E219="","",VLOOKUP('Opći dio'!$C$3,'Opći dio'!$L$6:$U$137,9,FALSE))</f>
        <v/>
      </c>
      <c r="C219" s="184" t="str">
        <f t="shared" si="15"/>
        <v/>
      </c>
      <c r="D219" s="136" t="str">
        <f t="shared" si="16"/>
        <v/>
      </c>
      <c r="E219" s="148"/>
      <c r="F219" s="188" t="str">
        <f t="shared" si="17"/>
        <v/>
      </c>
      <c r="G219" s="182"/>
      <c r="H219" s="182"/>
      <c r="I219" s="182"/>
      <c r="K219" s="139" t="str">
        <f t="shared" si="18"/>
        <v/>
      </c>
      <c r="L219" s="139" t="str">
        <f t="shared" si="19"/>
        <v/>
      </c>
    </row>
    <row r="220" spans="1:12">
      <c r="A220" s="137" t="str">
        <f>IF(E220="","",VLOOKUP('Opći dio'!$C$3,'Opći dio'!$L$6:$U$137,10,FALSE))</f>
        <v/>
      </c>
      <c r="B220" s="137" t="str">
        <f>IF(E220="","",VLOOKUP('Opći dio'!$C$3,'Opći dio'!$L$6:$U$137,9,FALSE))</f>
        <v/>
      </c>
      <c r="C220" s="184" t="str">
        <f t="shared" si="15"/>
        <v/>
      </c>
      <c r="D220" s="136" t="str">
        <f t="shared" si="16"/>
        <v/>
      </c>
      <c r="E220" s="148"/>
      <c r="F220" s="188" t="str">
        <f t="shared" si="17"/>
        <v/>
      </c>
      <c r="G220" s="182"/>
      <c r="H220" s="182"/>
      <c r="I220" s="182"/>
      <c r="K220" s="139" t="str">
        <f t="shared" si="18"/>
        <v/>
      </c>
      <c r="L220" s="139" t="str">
        <f t="shared" si="19"/>
        <v/>
      </c>
    </row>
    <row r="221" spans="1:12">
      <c r="A221" s="137" t="str">
        <f>IF(E221="","",VLOOKUP('Opći dio'!$C$3,'Opći dio'!$L$6:$U$137,10,FALSE))</f>
        <v/>
      </c>
      <c r="B221" s="137" t="str">
        <f>IF(E221="","",VLOOKUP('Opći dio'!$C$3,'Opći dio'!$L$6:$U$137,9,FALSE))</f>
        <v/>
      </c>
      <c r="C221" s="184" t="str">
        <f t="shared" si="15"/>
        <v/>
      </c>
      <c r="D221" s="136" t="str">
        <f t="shared" si="16"/>
        <v/>
      </c>
      <c r="E221" s="148"/>
      <c r="F221" s="188" t="str">
        <f t="shared" si="17"/>
        <v/>
      </c>
      <c r="G221" s="182"/>
      <c r="H221" s="182"/>
      <c r="I221" s="182"/>
      <c r="K221" s="139" t="str">
        <f t="shared" si="18"/>
        <v/>
      </c>
      <c r="L221" s="139" t="str">
        <f t="shared" si="19"/>
        <v/>
      </c>
    </row>
    <row r="222" spans="1:12">
      <c r="A222" s="137" t="str">
        <f>IF(E222="","",VLOOKUP('Opći dio'!$C$3,'Opći dio'!$L$6:$U$137,10,FALSE))</f>
        <v/>
      </c>
      <c r="B222" s="137" t="str">
        <f>IF(E222="","",VLOOKUP('Opći dio'!$C$3,'Opći dio'!$L$6:$U$137,9,FALSE))</f>
        <v/>
      </c>
      <c r="C222" s="184" t="str">
        <f t="shared" si="15"/>
        <v/>
      </c>
      <c r="D222" s="136" t="str">
        <f t="shared" si="16"/>
        <v/>
      </c>
      <c r="E222" s="148"/>
      <c r="F222" s="188" t="str">
        <f t="shared" si="17"/>
        <v/>
      </c>
      <c r="G222" s="182"/>
      <c r="H222" s="182"/>
      <c r="I222" s="182"/>
      <c r="K222" s="139" t="str">
        <f t="shared" si="18"/>
        <v/>
      </c>
      <c r="L222" s="139" t="str">
        <f t="shared" si="19"/>
        <v/>
      </c>
    </row>
    <row r="223" spans="1:12">
      <c r="A223" s="137" t="str">
        <f>IF(E223="","",VLOOKUP('Opći dio'!$C$3,'Opći dio'!$L$6:$U$137,10,FALSE))</f>
        <v/>
      </c>
      <c r="B223" s="137" t="str">
        <f>IF(E223="","",VLOOKUP('Opći dio'!$C$3,'Opći dio'!$L$6:$U$137,9,FALSE))</f>
        <v/>
      </c>
      <c r="C223" s="184" t="str">
        <f t="shared" si="15"/>
        <v/>
      </c>
      <c r="D223" s="136" t="str">
        <f t="shared" si="16"/>
        <v/>
      </c>
      <c r="E223" s="148"/>
      <c r="F223" s="188" t="str">
        <f t="shared" si="17"/>
        <v/>
      </c>
      <c r="G223" s="182"/>
      <c r="H223" s="182"/>
      <c r="I223" s="182"/>
      <c r="K223" s="139" t="str">
        <f t="shared" si="18"/>
        <v/>
      </c>
      <c r="L223" s="139" t="str">
        <f t="shared" si="19"/>
        <v/>
      </c>
    </row>
    <row r="224" spans="1:12">
      <c r="A224" s="137" t="str">
        <f>IF(E224="","",VLOOKUP('Opći dio'!$C$3,'Opći dio'!$L$6:$U$137,10,FALSE))</f>
        <v/>
      </c>
      <c r="B224" s="137" t="str">
        <f>IF(E224="","",VLOOKUP('Opći dio'!$C$3,'Opći dio'!$L$6:$U$137,9,FALSE))</f>
        <v/>
      </c>
      <c r="C224" s="184" t="str">
        <f t="shared" si="15"/>
        <v/>
      </c>
      <c r="D224" s="136" t="str">
        <f t="shared" si="16"/>
        <v/>
      </c>
      <c r="E224" s="148"/>
      <c r="F224" s="188" t="str">
        <f t="shared" si="17"/>
        <v/>
      </c>
      <c r="G224" s="182"/>
      <c r="H224" s="182"/>
      <c r="I224" s="182"/>
      <c r="K224" s="139" t="str">
        <f t="shared" si="18"/>
        <v/>
      </c>
      <c r="L224" s="139" t="str">
        <f t="shared" si="19"/>
        <v/>
      </c>
    </row>
    <row r="225" spans="1:12">
      <c r="A225" s="137" t="str">
        <f>IF(E225="","",VLOOKUP('Opći dio'!$C$3,'Opći dio'!$L$6:$U$137,10,FALSE))</f>
        <v/>
      </c>
      <c r="B225" s="137" t="str">
        <f>IF(E225="","",VLOOKUP('Opći dio'!$C$3,'Opći dio'!$L$6:$U$137,9,FALSE))</f>
        <v/>
      </c>
      <c r="C225" s="184" t="str">
        <f t="shared" si="15"/>
        <v/>
      </c>
      <c r="D225" s="136" t="str">
        <f t="shared" si="16"/>
        <v/>
      </c>
      <c r="E225" s="148"/>
      <c r="F225" s="188" t="str">
        <f t="shared" si="17"/>
        <v/>
      </c>
      <c r="G225" s="182"/>
      <c r="H225" s="182"/>
      <c r="I225" s="182"/>
      <c r="K225" s="139" t="str">
        <f t="shared" si="18"/>
        <v/>
      </c>
      <c r="L225" s="139" t="str">
        <f t="shared" si="19"/>
        <v/>
      </c>
    </row>
    <row r="226" spans="1:12">
      <c r="A226" s="137" t="str">
        <f>IF(E226="","",VLOOKUP('Opći dio'!$C$3,'Opći dio'!$L$6:$U$137,10,FALSE))</f>
        <v/>
      </c>
      <c r="B226" s="137" t="str">
        <f>IF(E226="","",VLOOKUP('Opći dio'!$C$3,'Opći dio'!$L$6:$U$137,9,FALSE))</f>
        <v/>
      </c>
      <c r="C226" s="184" t="str">
        <f t="shared" si="15"/>
        <v/>
      </c>
      <c r="D226" s="136" t="str">
        <f t="shared" si="16"/>
        <v/>
      </c>
      <c r="E226" s="148"/>
      <c r="F226" s="188" t="str">
        <f t="shared" si="17"/>
        <v/>
      </c>
      <c r="G226" s="182"/>
      <c r="H226" s="182"/>
      <c r="I226" s="182"/>
      <c r="K226" s="139" t="str">
        <f t="shared" si="18"/>
        <v/>
      </c>
      <c r="L226" s="139" t="str">
        <f t="shared" si="19"/>
        <v/>
      </c>
    </row>
    <row r="227" spans="1:12">
      <c r="A227" s="137" t="str">
        <f>IF(E227="","",VLOOKUP('Opći dio'!$C$3,'Opći dio'!$L$6:$U$137,10,FALSE))</f>
        <v/>
      </c>
      <c r="B227" s="137" t="str">
        <f>IF(E227="","",VLOOKUP('Opći dio'!$C$3,'Opći dio'!$L$6:$U$137,9,FALSE))</f>
        <v/>
      </c>
      <c r="C227" s="184" t="str">
        <f t="shared" si="15"/>
        <v/>
      </c>
      <c r="D227" s="136" t="str">
        <f t="shared" si="16"/>
        <v/>
      </c>
      <c r="E227" s="148"/>
      <c r="F227" s="188" t="str">
        <f t="shared" si="17"/>
        <v/>
      </c>
      <c r="G227" s="182"/>
      <c r="H227" s="182"/>
      <c r="I227" s="182"/>
      <c r="K227" s="139" t="str">
        <f t="shared" si="18"/>
        <v/>
      </c>
      <c r="L227" s="139" t="str">
        <f t="shared" si="19"/>
        <v/>
      </c>
    </row>
    <row r="228" spans="1:12">
      <c r="A228" s="137" t="str">
        <f>IF(E228="","",VLOOKUP('Opći dio'!$C$3,'Opći dio'!$L$6:$U$137,10,FALSE))</f>
        <v/>
      </c>
      <c r="B228" s="137" t="str">
        <f>IF(E228="","",VLOOKUP('Opći dio'!$C$3,'Opći dio'!$L$6:$U$137,9,FALSE))</f>
        <v/>
      </c>
      <c r="C228" s="184" t="str">
        <f t="shared" si="15"/>
        <v/>
      </c>
      <c r="D228" s="136" t="str">
        <f t="shared" si="16"/>
        <v/>
      </c>
      <c r="E228" s="148"/>
      <c r="F228" s="188" t="str">
        <f t="shared" si="17"/>
        <v/>
      </c>
      <c r="G228" s="182"/>
      <c r="H228" s="182"/>
      <c r="I228" s="182"/>
      <c r="K228" s="139" t="str">
        <f t="shared" si="18"/>
        <v/>
      </c>
      <c r="L228" s="139" t="str">
        <f t="shared" si="19"/>
        <v/>
      </c>
    </row>
    <row r="229" spans="1:12">
      <c r="A229" s="137" t="str">
        <f>IF(E229="","",VLOOKUP('Opći dio'!$C$3,'Opći dio'!$L$6:$U$137,10,FALSE))</f>
        <v/>
      </c>
      <c r="B229" s="137" t="str">
        <f>IF(E229="","",VLOOKUP('Opći dio'!$C$3,'Opći dio'!$L$6:$U$137,9,FALSE))</f>
        <v/>
      </c>
      <c r="C229" s="184" t="str">
        <f t="shared" si="15"/>
        <v/>
      </c>
      <c r="D229" s="136" t="str">
        <f t="shared" si="16"/>
        <v/>
      </c>
      <c r="E229" s="148"/>
      <c r="F229" s="188" t="str">
        <f t="shared" si="17"/>
        <v/>
      </c>
      <c r="G229" s="182"/>
      <c r="H229" s="182"/>
      <c r="I229" s="182"/>
      <c r="K229" s="139" t="str">
        <f t="shared" si="18"/>
        <v/>
      </c>
      <c r="L229" s="139" t="str">
        <f t="shared" si="19"/>
        <v/>
      </c>
    </row>
    <row r="230" spans="1:12">
      <c r="A230" s="137" t="str">
        <f>IF(E230="","",VLOOKUP('Opći dio'!$C$3,'Opći dio'!$L$6:$U$137,10,FALSE))</f>
        <v/>
      </c>
      <c r="B230" s="137" t="str">
        <f>IF(E230="","",VLOOKUP('Opći dio'!$C$3,'Opći dio'!$L$6:$U$137,9,FALSE))</f>
        <v/>
      </c>
      <c r="C230" s="184" t="str">
        <f t="shared" si="15"/>
        <v/>
      </c>
      <c r="D230" s="136" t="str">
        <f t="shared" si="16"/>
        <v/>
      </c>
      <c r="E230" s="148"/>
      <c r="F230" s="188" t="str">
        <f t="shared" si="17"/>
        <v/>
      </c>
      <c r="G230" s="182"/>
      <c r="H230" s="182"/>
      <c r="I230" s="182"/>
      <c r="K230" s="139" t="str">
        <f t="shared" si="18"/>
        <v/>
      </c>
      <c r="L230" s="139" t="str">
        <f t="shared" si="19"/>
        <v/>
      </c>
    </row>
    <row r="231" spans="1:12">
      <c r="A231" s="137" t="str">
        <f>IF(E231="","",VLOOKUP('Opći dio'!$C$3,'Opći dio'!$L$6:$U$137,10,FALSE))</f>
        <v/>
      </c>
      <c r="B231" s="137" t="str">
        <f>IF(E231="","",VLOOKUP('Opći dio'!$C$3,'Opći dio'!$L$6:$U$137,9,FALSE))</f>
        <v/>
      </c>
      <c r="C231" s="184" t="str">
        <f t="shared" si="15"/>
        <v/>
      </c>
      <c r="D231" s="136" t="str">
        <f t="shared" si="16"/>
        <v/>
      </c>
      <c r="E231" s="148"/>
      <c r="F231" s="188" t="str">
        <f t="shared" si="17"/>
        <v/>
      </c>
      <c r="G231" s="182"/>
      <c r="H231" s="182"/>
      <c r="I231" s="182"/>
      <c r="K231" s="139" t="str">
        <f t="shared" si="18"/>
        <v/>
      </c>
      <c r="L231" s="139" t="str">
        <f t="shared" si="19"/>
        <v/>
      </c>
    </row>
    <row r="232" spans="1:12">
      <c r="A232" s="137" t="str">
        <f>IF(E232="","",VLOOKUP('Opći dio'!$C$3,'Opći dio'!$L$6:$U$137,10,FALSE))</f>
        <v/>
      </c>
      <c r="B232" s="137" t="str">
        <f>IF(E232="","",VLOOKUP('Opći dio'!$C$3,'Opći dio'!$L$6:$U$137,9,FALSE))</f>
        <v/>
      </c>
      <c r="C232" s="184" t="str">
        <f t="shared" si="15"/>
        <v/>
      </c>
      <c r="D232" s="136" t="str">
        <f t="shared" si="16"/>
        <v/>
      </c>
      <c r="E232" s="148"/>
      <c r="F232" s="188" t="str">
        <f t="shared" si="17"/>
        <v/>
      </c>
      <c r="G232" s="182"/>
      <c r="H232" s="182"/>
      <c r="I232" s="182"/>
      <c r="K232" s="139" t="str">
        <f t="shared" si="18"/>
        <v/>
      </c>
      <c r="L232" s="139" t="str">
        <f t="shared" si="19"/>
        <v/>
      </c>
    </row>
    <row r="233" spans="1:12">
      <c r="A233" s="137" t="str">
        <f>IF(E233="","",VLOOKUP('Opći dio'!$C$3,'Opći dio'!$L$6:$U$137,10,FALSE))</f>
        <v/>
      </c>
      <c r="B233" s="137" t="str">
        <f>IF(E233="","",VLOOKUP('Opći dio'!$C$3,'Opći dio'!$L$6:$U$137,9,FALSE))</f>
        <v/>
      </c>
      <c r="C233" s="184" t="str">
        <f t="shared" si="15"/>
        <v/>
      </c>
      <c r="D233" s="136" t="str">
        <f t="shared" si="16"/>
        <v/>
      </c>
      <c r="E233" s="148"/>
      <c r="F233" s="188" t="str">
        <f t="shared" si="17"/>
        <v/>
      </c>
      <c r="G233" s="182"/>
      <c r="H233" s="182"/>
      <c r="I233" s="182"/>
      <c r="K233" s="139" t="str">
        <f t="shared" si="18"/>
        <v/>
      </c>
      <c r="L233" s="139" t="str">
        <f t="shared" si="19"/>
        <v/>
      </c>
    </row>
    <row r="234" spans="1:12">
      <c r="A234" s="137" t="str">
        <f>IF(E234="","",VLOOKUP('Opći dio'!$C$3,'Opći dio'!$L$6:$U$137,10,FALSE))</f>
        <v/>
      </c>
      <c r="B234" s="137" t="str">
        <f>IF(E234="","",VLOOKUP('Opći dio'!$C$3,'Opći dio'!$L$6:$U$137,9,FALSE))</f>
        <v/>
      </c>
      <c r="C234" s="184" t="str">
        <f t="shared" si="15"/>
        <v/>
      </c>
      <c r="D234" s="136" t="str">
        <f t="shared" si="16"/>
        <v/>
      </c>
      <c r="E234" s="148"/>
      <c r="F234" s="188" t="str">
        <f t="shared" si="17"/>
        <v/>
      </c>
      <c r="G234" s="182"/>
      <c r="H234" s="182"/>
      <c r="I234" s="182"/>
      <c r="K234" s="139" t="str">
        <f t="shared" si="18"/>
        <v/>
      </c>
      <c r="L234" s="139" t="str">
        <f t="shared" si="19"/>
        <v/>
      </c>
    </row>
    <row r="235" spans="1:12">
      <c r="A235" s="137" t="str">
        <f>IF(E235="","",VLOOKUP('Opći dio'!$C$3,'Opći dio'!$L$6:$U$137,10,FALSE))</f>
        <v/>
      </c>
      <c r="B235" s="137" t="str">
        <f>IF(E235="","",VLOOKUP('Opći dio'!$C$3,'Opći dio'!$L$6:$U$137,9,FALSE))</f>
        <v/>
      </c>
      <c r="C235" s="184" t="str">
        <f t="shared" si="15"/>
        <v/>
      </c>
      <c r="D235" s="136" t="str">
        <f t="shared" si="16"/>
        <v/>
      </c>
      <c r="E235" s="148"/>
      <c r="F235" s="188" t="str">
        <f t="shared" si="17"/>
        <v/>
      </c>
      <c r="G235" s="182"/>
      <c r="H235" s="182"/>
      <c r="I235" s="182"/>
      <c r="K235" s="139" t="str">
        <f t="shared" si="18"/>
        <v/>
      </c>
      <c r="L235" s="139" t="str">
        <f t="shared" si="19"/>
        <v/>
      </c>
    </row>
    <row r="236" spans="1:12">
      <c r="A236" s="137" t="str">
        <f>IF(E236="","",VLOOKUP('Opći dio'!$C$3,'Opći dio'!$L$6:$U$137,10,FALSE))</f>
        <v/>
      </c>
      <c r="B236" s="137" t="str">
        <f>IF(E236="","",VLOOKUP('Opći dio'!$C$3,'Opći dio'!$L$6:$U$137,9,FALSE))</f>
        <v/>
      </c>
      <c r="C236" s="184" t="str">
        <f t="shared" si="15"/>
        <v/>
      </c>
      <c r="D236" s="136" t="str">
        <f t="shared" si="16"/>
        <v/>
      </c>
      <c r="E236" s="148"/>
      <c r="F236" s="188" t="str">
        <f t="shared" si="17"/>
        <v/>
      </c>
      <c r="G236" s="182"/>
      <c r="H236" s="182"/>
      <c r="I236" s="182"/>
      <c r="K236" s="139" t="str">
        <f t="shared" si="18"/>
        <v/>
      </c>
      <c r="L236" s="139" t="str">
        <f t="shared" si="19"/>
        <v/>
      </c>
    </row>
    <row r="237" spans="1:12">
      <c r="A237" s="137" t="str">
        <f>IF(E237="","",VLOOKUP('Opći dio'!$C$3,'Opći dio'!$L$6:$U$137,10,FALSE))</f>
        <v/>
      </c>
      <c r="B237" s="137" t="str">
        <f>IF(E237="","",VLOOKUP('Opći dio'!$C$3,'Opći dio'!$L$6:$U$137,9,FALSE))</f>
        <v/>
      </c>
      <c r="C237" s="184" t="str">
        <f t="shared" si="15"/>
        <v/>
      </c>
      <c r="D237" s="136" t="str">
        <f t="shared" si="16"/>
        <v/>
      </c>
      <c r="E237" s="148"/>
      <c r="F237" s="188" t="str">
        <f t="shared" si="17"/>
        <v/>
      </c>
      <c r="G237" s="182"/>
      <c r="H237" s="182"/>
      <c r="I237" s="182"/>
      <c r="K237" s="139" t="str">
        <f t="shared" si="18"/>
        <v/>
      </c>
      <c r="L237" s="139" t="str">
        <f t="shared" si="19"/>
        <v/>
      </c>
    </row>
    <row r="238" spans="1:12">
      <c r="A238" s="137" t="str">
        <f>IF(E238="","",VLOOKUP('Opći dio'!$C$3,'Opći dio'!$L$6:$U$137,10,FALSE))</f>
        <v/>
      </c>
      <c r="B238" s="137" t="str">
        <f>IF(E238="","",VLOOKUP('Opći dio'!$C$3,'Opći dio'!$L$6:$U$137,9,FALSE))</f>
        <v/>
      </c>
      <c r="C238" s="184" t="str">
        <f t="shared" si="15"/>
        <v/>
      </c>
      <c r="D238" s="136" t="str">
        <f t="shared" si="16"/>
        <v/>
      </c>
      <c r="E238" s="148"/>
      <c r="F238" s="188" t="str">
        <f t="shared" si="17"/>
        <v/>
      </c>
      <c r="G238" s="182"/>
      <c r="H238" s="182"/>
      <c r="I238" s="182"/>
      <c r="K238" s="139" t="str">
        <f t="shared" si="18"/>
        <v/>
      </c>
      <c r="L238" s="139" t="str">
        <f t="shared" si="19"/>
        <v/>
      </c>
    </row>
    <row r="239" spans="1:12">
      <c r="A239" s="137" t="str">
        <f>IF(E239="","",VLOOKUP('Opći dio'!$C$3,'Opći dio'!$L$6:$U$137,10,FALSE))</f>
        <v/>
      </c>
      <c r="B239" s="137" t="str">
        <f>IF(E239="","",VLOOKUP('Opći dio'!$C$3,'Opći dio'!$L$6:$U$137,9,FALSE))</f>
        <v/>
      </c>
      <c r="C239" s="184" t="str">
        <f t="shared" si="15"/>
        <v/>
      </c>
      <c r="D239" s="136" t="str">
        <f t="shared" si="16"/>
        <v/>
      </c>
      <c r="E239" s="148"/>
      <c r="F239" s="188" t="str">
        <f t="shared" si="17"/>
        <v/>
      </c>
      <c r="G239" s="182"/>
      <c r="H239" s="182"/>
      <c r="I239" s="182"/>
      <c r="K239" s="139" t="str">
        <f t="shared" si="18"/>
        <v/>
      </c>
      <c r="L239" s="139" t="str">
        <f t="shared" si="19"/>
        <v/>
      </c>
    </row>
    <row r="240" spans="1:12">
      <c r="A240" s="137" t="str">
        <f>IF(E240="","",VLOOKUP('Opći dio'!$C$3,'Opći dio'!$L$6:$U$137,10,FALSE))</f>
        <v/>
      </c>
      <c r="B240" s="137" t="str">
        <f>IF(E240="","",VLOOKUP('Opći dio'!$C$3,'Opći dio'!$L$6:$U$137,9,FALSE))</f>
        <v/>
      </c>
      <c r="C240" s="184" t="str">
        <f t="shared" si="15"/>
        <v/>
      </c>
      <c r="D240" s="136" t="str">
        <f t="shared" si="16"/>
        <v/>
      </c>
      <c r="E240" s="148"/>
      <c r="F240" s="188" t="str">
        <f t="shared" si="17"/>
        <v/>
      </c>
      <c r="G240" s="182"/>
      <c r="H240" s="182"/>
      <c r="I240" s="182"/>
      <c r="K240" s="139" t="str">
        <f t="shared" si="18"/>
        <v/>
      </c>
      <c r="L240" s="139" t="str">
        <f t="shared" si="19"/>
        <v/>
      </c>
    </row>
    <row r="241" spans="1:12">
      <c r="A241" s="137" t="str">
        <f>IF(E241="","",VLOOKUP('Opći dio'!$C$3,'Opći dio'!$L$6:$U$137,10,FALSE))</f>
        <v/>
      </c>
      <c r="B241" s="137" t="str">
        <f>IF(E241="","",VLOOKUP('Opći dio'!$C$3,'Opći dio'!$L$6:$U$137,9,FALSE))</f>
        <v/>
      </c>
      <c r="C241" s="184" t="str">
        <f t="shared" si="15"/>
        <v/>
      </c>
      <c r="D241" s="136" t="str">
        <f t="shared" si="16"/>
        <v/>
      </c>
      <c r="E241" s="148"/>
      <c r="F241" s="188" t="str">
        <f t="shared" si="17"/>
        <v/>
      </c>
      <c r="G241" s="182"/>
      <c r="H241" s="182"/>
      <c r="I241" s="182"/>
      <c r="K241" s="139" t="str">
        <f t="shared" si="18"/>
        <v/>
      </c>
      <c r="L241" s="139" t="str">
        <f t="shared" si="19"/>
        <v/>
      </c>
    </row>
    <row r="242" spans="1:12">
      <c r="A242" s="137" t="str">
        <f>IF(E242="","",VLOOKUP('Opći dio'!$C$3,'Opći dio'!$L$6:$U$137,10,FALSE))</f>
        <v/>
      </c>
      <c r="B242" s="137" t="str">
        <f>IF(E242="","",VLOOKUP('Opći dio'!$C$3,'Opći dio'!$L$6:$U$137,9,FALSE))</f>
        <v/>
      </c>
      <c r="C242" s="184" t="str">
        <f t="shared" si="15"/>
        <v/>
      </c>
      <c r="D242" s="136" t="str">
        <f t="shared" si="16"/>
        <v/>
      </c>
      <c r="E242" s="148"/>
      <c r="F242" s="188" t="str">
        <f t="shared" si="17"/>
        <v/>
      </c>
      <c r="G242" s="182"/>
      <c r="H242" s="182"/>
      <c r="I242" s="182"/>
      <c r="K242" s="139" t="str">
        <f t="shared" si="18"/>
        <v/>
      </c>
      <c r="L242" s="139" t="str">
        <f t="shared" si="19"/>
        <v/>
      </c>
    </row>
    <row r="243" spans="1:12">
      <c r="A243" s="137" t="str">
        <f>IF(E243="","",VLOOKUP('Opći dio'!$C$3,'Opći dio'!$L$6:$U$137,10,FALSE))</f>
        <v/>
      </c>
      <c r="B243" s="137" t="str">
        <f>IF(E243="","",VLOOKUP('Opći dio'!$C$3,'Opći dio'!$L$6:$U$137,9,FALSE))</f>
        <v/>
      </c>
      <c r="C243" s="184" t="str">
        <f t="shared" si="15"/>
        <v/>
      </c>
      <c r="D243" s="136" t="str">
        <f t="shared" si="16"/>
        <v/>
      </c>
      <c r="E243" s="148"/>
      <c r="F243" s="188" t="str">
        <f t="shared" si="17"/>
        <v/>
      </c>
      <c r="G243" s="182"/>
      <c r="H243" s="182"/>
      <c r="I243" s="182"/>
      <c r="K243" s="139" t="str">
        <f t="shared" si="18"/>
        <v/>
      </c>
      <c r="L243" s="139" t="str">
        <f t="shared" si="19"/>
        <v/>
      </c>
    </row>
    <row r="244" spans="1:12">
      <c r="A244" s="137" t="str">
        <f>IF(E244="","",VLOOKUP('Opći dio'!$C$3,'Opći dio'!$L$6:$U$137,10,FALSE))</f>
        <v/>
      </c>
      <c r="B244" s="137" t="str">
        <f>IF(E244="","",VLOOKUP('Opći dio'!$C$3,'Opći dio'!$L$6:$U$137,9,FALSE))</f>
        <v/>
      </c>
      <c r="C244" s="184" t="str">
        <f t="shared" si="15"/>
        <v/>
      </c>
      <c r="D244" s="136" t="str">
        <f t="shared" si="16"/>
        <v/>
      </c>
      <c r="E244" s="148"/>
      <c r="F244" s="188" t="str">
        <f t="shared" si="17"/>
        <v/>
      </c>
      <c r="G244" s="182"/>
      <c r="H244" s="182"/>
      <c r="I244" s="182"/>
      <c r="K244" s="139" t="str">
        <f t="shared" si="18"/>
        <v/>
      </c>
      <c r="L244" s="139" t="str">
        <f t="shared" si="19"/>
        <v/>
      </c>
    </row>
    <row r="245" spans="1:12">
      <c r="A245" s="137" t="str">
        <f>IF(E245="","",VLOOKUP('Opći dio'!$C$3,'Opći dio'!$L$6:$U$137,10,FALSE))</f>
        <v/>
      </c>
      <c r="B245" s="137" t="str">
        <f>IF(E245="","",VLOOKUP('Opći dio'!$C$3,'Opći dio'!$L$6:$U$137,9,FALSE))</f>
        <v/>
      </c>
      <c r="C245" s="184" t="str">
        <f t="shared" si="15"/>
        <v/>
      </c>
      <c r="D245" s="136" t="str">
        <f t="shared" si="16"/>
        <v/>
      </c>
      <c r="E245" s="148"/>
      <c r="F245" s="188" t="str">
        <f t="shared" si="17"/>
        <v/>
      </c>
      <c r="G245" s="182"/>
      <c r="H245" s="182"/>
      <c r="I245" s="182"/>
      <c r="K245" s="139" t="str">
        <f t="shared" si="18"/>
        <v/>
      </c>
      <c r="L245" s="139" t="str">
        <f t="shared" si="19"/>
        <v/>
      </c>
    </row>
    <row r="246" spans="1:12">
      <c r="A246" s="137" t="str">
        <f>IF(E246="","",VLOOKUP('Opći dio'!$C$3,'Opći dio'!$L$6:$U$137,10,FALSE))</f>
        <v/>
      </c>
      <c r="B246" s="137" t="str">
        <f>IF(E246="","",VLOOKUP('Opći dio'!$C$3,'Opći dio'!$L$6:$U$137,9,FALSE))</f>
        <v/>
      </c>
      <c r="C246" s="184" t="str">
        <f t="shared" si="15"/>
        <v/>
      </c>
      <c r="D246" s="136" t="str">
        <f t="shared" si="16"/>
        <v/>
      </c>
      <c r="E246" s="148"/>
      <c r="F246" s="188" t="str">
        <f t="shared" si="17"/>
        <v/>
      </c>
      <c r="G246" s="182"/>
      <c r="H246" s="182"/>
      <c r="I246" s="182"/>
      <c r="K246" s="139" t="str">
        <f t="shared" si="18"/>
        <v/>
      </c>
      <c r="L246" s="139" t="str">
        <f t="shared" si="19"/>
        <v/>
      </c>
    </row>
    <row r="247" spans="1:12">
      <c r="A247" s="137" t="str">
        <f>IF(E247="","",VLOOKUP('Opći dio'!$C$3,'Opći dio'!$L$6:$U$137,10,FALSE))</f>
        <v/>
      </c>
      <c r="B247" s="137" t="str">
        <f>IF(E247="","",VLOOKUP('Opći dio'!$C$3,'Opći dio'!$L$6:$U$137,9,FALSE))</f>
        <v/>
      </c>
      <c r="C247" s="184" t="str">
        <f t="shared" si="15"/>
        <v/>
      </c>
      <c r="D247" s="136" t="str">
        <f t="shared" si="16"/>
        <v/>
      </c>
      <c r="E247" s="148"/>
      <c r="F247" s="188" t="str">
        <f t="shared" si="17"/>
        <v/>
      </c>
      <c r="G247" s="182"/>
      <c r="H247" s="182"/>
      <c r="I247" s="182"/>
      <c r="K247" s="139" t="str">
        <f t="shared" si="18"/>
        <v/>
      </c>
      <c r="L247" s="139" t="str">
        <f t="shared" si="19"/>
        <v/>
      </c>
    </row>
    <row r="248" spans="1:12">
      <c r="A248" s="137" t="str">
        <f>IF(E248="","",VLOOKUP('Opći dio'!$C$3,'Opći dio'!$L$6:$U$137,10,FALSE))</f>
        <v/>
      </c>
      <c r="B248" s="137" t="str">
        <f>IF(E248="","",VLOOKUP('Opći dio'!$C$3,'Opći dio'!$L$6:$U$137,9,FALSE))</f>
        <v/>
      </c>
      <c r="C248" s="184" t="str">
        <f t="shared" si="15"/>
        <v/>
      </c>
      <c r="D248" s="136" t="str">
        <f t="shared" si="16"/>
        <v/>
      </c>
      <c r="E248" s="148"/>
      <c r="F248" s="188" t="str">
        <f t="shared" si="17"/>
        <v/>
      </c>
      <c r="G248" s="182"/>
      <c r="H248" s="182"/>
      <c r="I248" s="182"/>
      <c r="K248" s="139" t="str">
        <f t="shared" si="18"/>
        <v/>
      </c>
      <c r="L248" s="139" t="str">
        <f t="shared" si="19"/>
        <v/>
      </c>
    </row>
    <row r="249" spans="1:12">
      <c r="A249" s="137" t="str">
        <f>IF(E249="","",VLOOKUP('Opći dio'!$C$3,'Opći dio'!$L$6:$U$137,10,FALSE))</f>
        <v/>
      </c>
      <c r="B249" s="137" t="str">
        <f>IF(E249="","",VLOOKUP('Opći dio'!$C$3,'Opći dio'!$L$6:$U$137,9,FALSE))</f>
        <v/>
      </c>
      <c r="C249" s="184" t="str">
        <f t="shared" si="15"/>
        <v/>
      </c>
      <c r="D249" s="136" t="str">
        <f t="shared" si="16"/>
        <v/>
      </c>
      <c r="E249" s="148"/>
      <c r="F249" s="188" t="str">
        <f t="shared" si="17"/>
        <v/>
      </c>
      <c r="G249" s="182"/>
      <c r="H249" s="182"/>
      <c r="I249" s="182"/>
      <c r="K249" s="139" t="str">
        <f t="shared" si="18"/>
        <v/>
      </c>
      <c r="L249" s="139" t="str">
        <f t="shared" si="19"/>
        <v/>
      </c>
    </row>
    <row r="250" spans="1:12">
      <c r="A250" s="137" t="str">
        <f>IF(E250="","",VLOOKUP('Opći dio'!$C$3,'Opći dio'!$L$6:$U$137,10,FALSE))</f>
        <v/>
      </c>
      <c r="B250" s="137" t="str">
        <f>IF(E250="","",VLOOKUP('Opći dio'!$C$3,'Opći dio'!$L$6:$U$137,9,FALSE))</f>
        <v/>
      </c>
      <c r="C250" s="184" t="str">
        <f t="shared" si="15"/>
        <v/>
      </c>
      <c r="D250" s="136" t="str">
        <f t="shared" si="16"/>
        <v/>
      </c>
      <c r="E250" s="148"/>
      <c r="F250" s="188" t="str">
        <f t="shared" si="17"/>
        <v/>
      </c>
      <c r="G250" s="182"/>
      <c r="H250" s="182"/>
      <c r="I250" s="182"/>
      <c r="K250" s="139" t="str">
        <f t="shared" si="18"/>
        <v/>
      </c>
      <c r="L250" s="139" t="str">
        <f t="shared" si="19"/>
        <v/>
      </c>
    </row>
    <row r="251" spans="1:12">
      <c r="A251" s="137" t="str">
        <f>IF(E251="","",VLOOKUP('Opći dio'!$C$3,'Opći dio'!$L$6:$U$137,10,FALSE))</f>
        <v/>
      </c>
      <c r="B251" s="137" t="str">
        <f>IF(E251="","",VLOOKUP('Opći dio'!$C$3,'Opći dio'!$L$6:$U$137,9,FALSE))</f>
        <v/>
      </c>
      <c r="C251" s="184" t="str">
        <f t="shared" si="15"/>
        <v/>
      </c>
      <c r="D251" s="136" t="str">
        <f t="shared" si="16"/>
        <v/>
      </c>
      <c r="E251" s="148"/>
      <c r="F251" s="188" t="str">
        <f t="shared" si="17"/>
        <v/>
      </c>
      <c r="G251" s="182"/>
      <c r="H251" s="182"/>
      <c r="I251" s="182"/>
      <c r="K251" s="139" t="str">
        <f t="shared" si="18"/>
        <v/>
      </c>
      <c r="L251" s="139" t="str">
        <f t="shared" si="19"/>
        <v/>
      </c>
    </row>
    <row r="252" spans="1:12">
      <c r="A252" s="137" t="str">
        <f>IF(E252="","",VLOOKUP('Opći dio'!$C$3,'Opći dio'!$L$6:$U$137,10,FALSE))</f>
        <v/>
      </c>
      <c r="B252" s="137" t="str">
        <f>IF(E252="","",VLOOKUP('Opći dio'!$C$3,'Opći dio'!$L$6:$U$137,9,FALSE))</f>
        <v/>
      </c>
      <c r="C252" s="184" t="str">
        <f t="shared" si="15"/>
        <v/>
      </c>
      <c r="D252" s="136" t="str">
        <f t="shared" si="16"/>
        <v/>
      </c>
      <c r="E252" s="148"/>
      <c r="F252" s="188" t="str">
        <f t="shared" si="17"/>
        <v/>
      </c>
      <c r="G252" s="182"/>
      <c r="H252" s="182"/>
      <c r="I252" s="182"/>
      <c r="K252" s="139" t="str">
        <f t="shared" si="18"/>
        <v/>
      </c>
      <c r="L252" s="139" t="str">
        <f t="shared" si="19"/>
        <v/>
      </c>
    </row>
    <row r="253" spans="1:12">
      <c r="A253" s="137" t="str">
        <f>IF(E253="","",VLOOKUP('Opći dio'!$C$3,'Opći dio'!$L$6:$U$137,10,FALSE))</f>
        <v/>
      </c>
      <c r="B253" s="137" t="str">
        <f>IF(E253="","",VLOOKUP('Opći dio'!$C$3,'Opći dio'!$L$6:$U$137,9,FALSE))</f>
        <v/>
      </c>
      <c r="C253" s="184" t="str">
        <f t="shared" si="15"/>
        <v/>
      </c>
      <c r="D253" s="136" t="str">
        <f t="shared" si="16"/>
        <v/>
      </c>
      <c r="E253" s="148"/>
      <c r="F253" s="188" t="str">
        <f t="shared" si="17"/>
        <v/>
      </c>
      <c r="G253" s="182"/>
      <c r="H253" s="182"/>
      <c r="I253" s="182"/>
      <c r="K253" s="139" t="str">
        <f t="shared" si="18"/>
        <v/>
      </c>
      <c r="L253" s="139" t="str">
        <f t="shared" si="19"/>
        <v/>
      </c>
    </row>
    <row r="254" spans="1:12">
      <c r="A254" s="137" t="str">
        <f>IF(E254="","",VLOOKUP('Opći dio'!$C$3,'Opći dio'!$L$6:$U$137,10,FALSE))</f>
        <v/>
      </c>
      <c r="B254" s="137" t="str">
        <f>IF(E254="","",VLOOKUP('Opći dio'!$C$3,'Opći dio'!$L$6:$U$137,9,FALSE))</f>
        <v/>
      </c>
      <c r="C254" s="184" t="str">
        <f t="shared" si="15"/>
        <v/>
      </c>
      <c r="D254" s="136" t="str">
        <f t="shared" si="16"/>
        <v/>
      </c>
      <c r="E254" s="148"/>
      <c r="F254" s="188" t="str">
        <f t="shared" si="17"/>
        <v/>
      </c>
      <c r="G254" s="182"/>
      <c r="H254" s="182"/>
      <c r="I254" s="182"/>
      <c r="K254" s="139" t="str">
        <f t="shared" si="18"/>
        <v/>
      </c>
      <c r="L254" s="139" t="str">
        <f t="shared" si="19"/>
        <v/>
      </c>
    </row>
    <row r="255" spans="1:12">
      <c r="A255" s="137" t="str">
        <f>IF(E255="","",VLOOKUP('Opći dio'!$C$3,'Opći dio'!$L$6:$U$137,10,FALSE))</f>
        <v/>
      </c>
      <c r="B255" s="137" t="str">
        <f>IF(E255="","",VLOOKUP('Opći dio'!$C$3,'Opći dio'!$L$6:$U$137,9,FALSE))</f>
        <v/>
      </c>
      <c r="C255" s="184" t="str">
        <f t="shared" si="15"/>
        <v/>
      </c>
      <c r="D255" s="136" t="str">
        <f t="shared" si="16"/>
        <v/>
      </c>
      <c r="E255" s="148"/>
      <c r="F255" s="188" t="str">
        <f t="shared" si="17"/>
        <v/>
      </c>
      <c r="G255" s="182"/>
      <c r="H255" s="182"/>
      <c r="I255" s="182"/>
      <c r="K255" s="139" t="str">
        <f t="shared" si="18"/>
        <v/>
      </c>
      <c r="L255" s="139" t="str">
        <f t="shared" si="19"/>
        <v/>
      </c>
    </row>
    <row r="256" spans="1:12">
      <c r="A256" s="137" t="str">
        <f>IF(E256="","",VLOOKUP('Opći dio'!$C$3,'Opći dio'!$L$6:$U$137,10,FALSE))</f>
        <v/>
      </c>
      <c r="B256" s="137" t="str">
        <f>IF(E256="","",VLOOKUP('Opći dio'!$C$3,'Opći dio'!$L$6:$U$137,9,FALSE))</f>
        <v/>
      </c>
      <c r="C256" s="184" t="str">
        <f t="shared" si="15"/>
        <v/>
      </c>
      <c r="D256" s="136" t="str">
        <f t="shared" si="16"/>
        <v/>
      </c>
      <c r="E256" s="148"/>
      <c r="F256" s="188" t="str">
        <f t="shared" si="17"/>
        <v/>
      </c>
      <c r="G256" s="182"/>
      <c r="H256" s="182"/>
      <c r="I256" s="182"/>
      <c r="K256" s="139" t="str">
        <f t="shared" si="18"/>
        <v/>
      </c>
      <c r="L256" s="139" t="str">
        <f t="shared" si="19"/>
        <v/>
      </c>
    </row>
    <row r="257" spans="1:12">
      <c r="A257" s="137" t="str">
        <f>IF(E257="","",VLOOKUP('Opći dio'!$C$3,'Opći dio'!$L$6:$U$137,10,FALSE))</f>
        <v/>
      </c>
      <c r="B257" s="137" t="str">
        <f>IF(E257="","",VLOOKUP('Opći dio'!$C$3,'Opći dio'!$L$6:$U$137,9,FALSE))</f>
        <v/>
      </c>
      <c r="C257" s="184" t="str">
        <f t="shared" si="15"/>
        <v/>
      </c>
      <c r="D257" s="136" t="str">
        <f t="shared" si="16"/>
        <v/>
      </c>
      <c r="E257" s="148"/>
      <c r="F257" s="188" t="str">
        <f t="shared" si="17"/>
        <v/>
      </c>
      <c r="G257" s="182"/>
      <c r="H257" s="182"/>
      <c r="I257" s="182"/>
      <c r="K257" s="139" t="str">
        <f t="shared" si="18"/>
        <v/>
      </c>
      <c r="L257" s="139" t="str">
        <f t="shared" si="19"/>
        <v/>
      </c>
    </row>
    <row r="258" spans="1:12">
      <c r="A258" s="137" t="str">
        <f>IF(E258="","",VLOOKUP('Opći dio'!$C$3,'Opći dio'!$L$6:$U$137,10,FALSE))</f>
        <v/>
      </c>
      <c r="B258" s="137" t="str">
        <f>IF(E258="","",VLOOKUP('Opći dio'!$C$3,'Opći dio'!$L$6:$U$137,9,FALSE))</f>
        <v/>
      </c>
      <c r="C258" s="184" t="str">
        <f t="shared" si="15"/>
        <v/>
      </c>
      <c r="D258" s="136" t="str">
        <f t="shared" si="16"/>
        <v/>
      </c>
      <c r="E258" s="148"/>
      <c r="F258" s="188" t="str">
        <f t="shared" si="17"/>
        <v/>
      </c>
      <c r="G258" s="182"/>
      <c r="H258" s="182"/>
      <c r="I258" s="182"/>
      <c r="K258" s="139" t="str">
        <f t="shared" si="18"/>
        <v/>
      </c>
      <c r="L258" s="139" t="str">
        <f t="shared" si="19"/>
        <v/>
      </c>
    </row>
    <row r="259" spans="1:12">
      <c r="A259" s="137" t="str">
        <f>IF(E259="","",VLOOKUP('Opći dio'!$C$3,'Opći dio'!$L$6:$U$137,10,FALSE))</f>
        <v/>
      </c>
      <c r="B259" s="137" t="str">
        <f>IF(E259="","",VLOOKUP('Opći dio'!$C$3,'Opći dio'!$L$6:$U$137,9,FALSE))</f>
        <v/>
      </c>
      <c r="C259" s="184" t="str">
        <f t="shared" si="15"/>
        <v/>
      </c>
      <c r="D259" s="136" t="str">
        <f t="shared" si="16"/>
        <v/>
      </c>
      <c r="E259" s="148"/>
      <c r="F259" s="188" t="str">
        <f t="shared" si="17"/>
        <v/>
      </c>
      <c r="G259" s="182"/>
      <c r="H259" s="182"/>
      <c r="I259" s="182"/>
      <c r="K259" s="139" t="str">
        <f t="shared" si="18"/>
        <v/>
      </c>
      <c r="L259" s="139" t="str">
        <f t="shared" si="19"/>
        <v/>
      </c>
    </row>
    <row r="260" spans="1:12">
      <c r="A260" s="137" t="str">
        <f>IF(E260="","",VLOOKUP('Opći dio'!$C$3,'Opći dio'!$L$6:$U$137,10,FALSE))</f>
        <v/>
      </c>
      <c r="B260" s="137" t="str">
        <f>IF(E260="","",VLOOKUP('Opći dio'!$C$3,'Opći dio'!$L$6:$U$137,9,FALSE))</f>
        <v/>
      </c>
      <c r="C260" s="184" t="str">
        <f t="shared" ref="C260:C323" si="20">IFERROR(VLOOKUP(E260,$Q$6:$T$105,3,FALSE),"")</f>
        <v/>
      </c>
      <c r="D260" s="136" t="str">
        <f t="shared" ref="D260:D323" si="21">IFERROR(VLOOKUP(E260,$Q$6:$T$105,4,FALSE),"")</f>
        <v/>
      </c>
      <c r="E260" s="148"/>
      <c r="F260" s="188" t="str">
        <f t="shared" ref="F260:F323" si="22">IFERROR(VLOOKUP(E260,$Q$6:$T$105,2,FALSE),"")</f>
        <v/>
      </c>
      <c r="G260" s="182"/>
      <c r="H260" s="182"/>
      <c r="I260" s="182"/>
      <c r="K260" s="139" t="str">
        <f t="shared" ref="K260:K323" si="23">LEFT(E260,3)</f>
        <v/>
      </c>
      <c r="L260" s="139" t="str">
        <f t="shared" ref="L260:L323" si="24">LEFT(E260,2)</f>
        <v/>
      </c>
    </row>
    <row r="261" spans="1:12">
      <c r="A261" s="137" t="str">
        <f>IF(E261="","",VLOOKUP('Opći dio'!$C$3,'Opći dio'!$L$6:$U$137,10,FALSE))</f>
        <v/>
      </c>
      <c r="B261" s="137" t="str">
        <f>IF(E261="","",VLOOKUP('Opći dio'!$C$3,'Opći dio'!$L$6:$U$137,9,FALSE))</f>
        <v/>
      </c>
      <c r="C261" s="184" t="str">
        <f t="shared" si="20"/>
        <v/>
      </c>
      <c r="D261" s="136" t="str">
        <f t="shared" si="21"/>
        <v/>
      </c>
      <c r="E261" s="148"/>
      <c r="F261" s="188" t="str">
        <f t="shared" si="22"/>
        <v/>
      </c>
      <c r="G261" s="182"/>
      <c r="H261" s="182"/>
      <c r="I261" s="182"/>
      <c r="K261" s="139" t="str">
        <f t="shared" si="23"/>
        <v/>
      </c>
      <c r="L261" s="139" t="str">
        <f t="shared" si="24"/>
        <v/>
      </c>
    </row>
    <row r="262" spans="1:12">
      <c r="A262" s="137" t="str">
        <f>IF(E262="","",VLOOKUP('Opći dio'!$C$3,'Opći dio'!$L$6:$U$137,10,FALSE))</f>
        <v/>
      </c>
      <c r="B262" s="137" t="str">
        <f>IF(E262="","",VLOOKUP('Opći dio'!$C$3,'Opći dio'!$L$6:$U$137,9,FALSE))</f>
        <v/>
      </c>
      <c r="C262" s="184" t="str">
        <f t="shared" si="20"/>
        <v/>
      </c>
      <c r="D262" s="136" t="str">
        <f t="shared" si="21"/>
        <v/>
      </c>
      <c r="E262" s="148"/>
      <c r="F262" s="188" t="str">
        <f t="shared" si="22"/>
        <v/>
      </c>
      <c r="G262" s="182"/>
      <c r="H262" s="182"/>
      <c r="I262" s="182"/>
      <c r="K262" s="139" t="str">
        <f t="shared" si="23"/>
        <v/>
      </c>
      <c r="L262" s="139" t="str">
        <f t="shared" si="24"/>
        <v/>
      </c>
    </row>
    <row r="263" spans="1:12">
      <c r="A263" s="137" t="str">
        <f>IF(E263="","",VLOOKUP('Opći dio'!$C$3,'Opći dio'!$L$6:$U$137,10,FALSE))</f>
        <v/>
      </c>
      <c r="B263" s="137" t="str">
        <f>IF(E263="","",VLOOKUP('Opći dio'!$C$3,'Opći dio'!$L$6:$U$137,9,FALSE))</f>
        <v/>
      </c>
      <c r="C263" s="184" t="str">
        <f t="shared" si="20"/>
        <v/>
      </c>
      <c r="D263" s="136" t="str">
        <f t="shared" si="21"/>
        <v/>
      </c>
      <c r="E263" s="148"/>
      <c r="F263" s="188" t="str">
        <f t="shared" si="22"/>
        <v/>
      </c>
      <c r="G263" s="182"/>
      <c r="H263" s="182"/>
      <c r="I263" s="182"/>
      <c r="K263" s="139" t="str">
        <f t="shared" si="23"/>
        <v/>
      </c>
      <c r="L263" s="139" t="str">
        <f t="shared" si="24"/>
        <v/>
      </c>
    </row>
    <row r="264" spans="1:12">
      <c r="A264" s="137" t="str">
        <f>IF(E264="","",VLOOKUP('Opći dio'!$C$3,'Opći dio'!$L$6:$U$137,10,FALSE))</f>
        <v/>
      </c>
      <c r="B264" s="137" t="str">
        <f>IF(E264="","",VLOOKUP('Opći dio'!$C$3,'Opći dio'!$L$6:$U$137,9,FALSE))</f>
        <v/>
      </c>
      <c r="C264" s="184" t="str">
        <f t="shared" si="20"/>
        <v/>
      </c>
      <c r="D264" s="136" t="str">
        <f t="shared" si="21"/>
        <v/>
      </c>
      <c r="E264" s="148"/>
      <c r="F264" s="188" t="str">
        <f t="shared" si="22"/>
        <v/>
      </c>
      <c r="G264" s="182"/>
      <c r="H264" s="182"/>
      <c r="I264" s="182"/>
      <c r="K264" s="139" t="str">
        <f t="shared" si="23"/>
        <v/>
      </c>
      <c r="L264" s="139" t="str">
        <f t="shared" si="24"/>
        <v/>
      </c>
    </row>
    <row r="265" spans="1:12">
      <c r="A265" s="137" t="str">
        <f>IF(E265="","",VLOOKUP('Opći dio'!$C$3,'Opći dio'!$L$6:$U$137,10,FALSE))</f>
        <v/>
      </c>
      <c r="B265" s="137" t="str">
        <f>IF(E265="","",VLOOKUP('Opći dio'!$C$3,'Opći dio'!$L$6:$U$137,9,FALSE))</f>
        <v/>
      </c>
      <c r="C265" s="184" t="str">
        <f t="shared" si="20"/>
        <v/>
      </c>
      <c r="D265" s="136" t="str">
        <f t="shared" si="21"/>
        <v/>
      </c>
      <c r="E265" s="148"/>
      <c r="F265" s="188" t="str">
        <f t="shared" si="22"/>
        <v/>
      </c>
      <c r="G265" s="182"/>
      <c r="H265" s="182"/>
      <c r="I265" s="182"/>
      <c r="K265" s="139" t="str">
        <f t="shared" si="23"/>
        <v/>
      </c>
      <c r="L265" s="139" t="str">
        <f t="shared" si="24"/>
        <v/>
      </c>
    </row>
    <row r="266" spans="1:12">
      <c r="A266" s="137" t="str">
        <f>IF(E266="","",VLOOKUP('Opći dio'!$C$3,'Opći dio'!$L$6:$U$137,10,FALSE))</f>
        <v/>
      </c>
      <c r="B266" s="137" t="str">
        <f>IF(E266="","",VLOOKUP('Opći dio'!$C$3,'Opći dio'!$L$6:$U$137,9,FALSE))</f>
        <v/>
      </c>
      <c r="C266" s="184" t="str">
        <f t="shared" si="20"/>
        <v/>
      </c>
      <c r="D266" s="136" t="str">
        <f t="shared" si="21"/>
        <v/>
      </c>
      <c r="E266" s="148"/>
      <c r="F266" s="188" t="str">
        <f t="shared" si="22"/>
        <v/>
      </c>
      <c r="G266" s="182"/>
      <c r="H266" s="182"/>
      <c r="I266" s="182"/>
      <c r="K266" s="139" t="str">
        <f t="shared" si="23"/>
        <v/>
      </c>
      <c r="L266" s="139" t="str">
        <f t="shared" si="24"/>
        <v/>
      </c>
    </row>
    <row r="267" spans="1:12">
      <c r="A267" s="137" t="str">
        <f>IF(E267="","",VLOOKUP('Opći dio'!$C$3,'Opći dio'!$L$6:$U$137,10,FALSE))</f>
        <v/>
      </c>
      <c r="B267" s="137" t="str">
        <f>IF(E267="","",VLOOKUP('Opći dio'!$C$3,'Opći dio'!$L$6:$U$137,9,FALSE))</f>
        <v/>
      </c>
      <c r="C267" s="184" t="str">
        <f t="shared" si="20"/>
        <v/>
      </c>
      <c r="D267" s="136" t="str">
        <f t="shared" si="21"/>
        <v/>
      </c>
      <c r="E267" s="148"/>
      <c r="F267" s="188" t="str">
        <f t="shared" si="22"/>
        <v/>
      </c>
      <c r="G267" s="182"/>
      <c r="H267" s="182"/>
      <c r="I267" s="182"/>
      <c r="K267" s="139" t="str">
        <f t="shared" si="23"/>
        <v/>
      </c>
      <c r="L267" s="139" t="str">
        <f t="shared" si="24"/>
        <v/>
      </c>
    </row>
    <row r="268" spans="1:12">
      <c r="A268" s="137" t="str">
        <f>IF(E268="","",VLOOKUP('Opći dio'!$C$3,'Opći dio'!$L$6:$U$137,10,FALSE))</f>
        <v/>
      </c>
      <c r="B268" s="137" t="str">
        <f>IF(E268="","",VLOOKUP('Opći dio'!$C$3,'Opći dio'!$L$6:$U$137,9,FALSE))</f>
        <v/>
      </c>
      <c r="C268" s="184" t="str">
        <f t="shared" si="20"/>
        <v/>
      </c>
      <c r="D268" s="136" t="str">
        <f t="shared" si="21"/>
        <v/>
      </c>
      <c r="E268" s="148"/>
      <c r="F268" s="188" t="str">
        <f t="shared" si="22"/>
        <v/>
      </c>
      <c r="G268" s="182"/>
      <c r="H268" s="182"/>
      <c r="I268" s="182"/>
      <c r="K268" s="139" t="str">
        <f t="shared" si="23"/>
        <v/>
      </c>
      <c r="L268" s="139" t="str">
        <f t="shared" si="24"/>
        <v/>
      </c>
    </row>
    <row r="269" spans="1:12">
      <c r="A269" s="137" t="str">
        <f>IF(E269="","",VLOOKUP('Opći dio'!$C$3,'Opći dio'!$L$6:$U$137,10,FALSE))</f>
        <v/>
      </c>
      <c r="B269" s="137" t="str">
        <f>IF(E269="","",VLOOKUP('Opći dio'!$C$3,'Opći dio'!$L$6:$U$137,9,FALSE))</f>
        <v/>
      </c>
      <c r="C269" s="184" t="str">
        <f t="shared" si="20"/>
        <v/>
      </c>
      <c r="D269" s="136" t="str">
        <f t="shared" si="21"/>
        <v/>
      </c>
      <c r="E269" s="148"/>
      <c r="F269" s="188" t="str">
        <f t="shared" si="22"/>
        <v/>
      </c>
      <c r="G269" s="182"/>
      <c r="H269" s="182"/>
      <c r="I269" s="182"/>
      <c r="K269" s="139" t="str">
        <f t="shared" si="23"/>
        <v/>
      </c>
      <c r="L269" s="139" t="str">
        <f t="shared" si="24"/>
        <v/>
      </c>
    </row>
    <row r="270" spans="1:12">
      <c r="A270" s="137" t="str">
        <f>IF(E270="","",VLOOKUP('Opći dio'!$C$3,'Opći dio'!$L$6:$U$137,10,FALSE))</f>
        <v/>
      </c>
      <c r="B270" s="137" t="str">
        <f>IF(E270="","",VLOOKUP('Opći dio'!$C$3,'Opći dio'!$L$6:$U$137,9,FALSE))</f>
        <v/>
      </c>
      <c r="C270" s="184" t="str">
        <f t="shared" si="20"/>
        <v/>
      </c>
      <c r="D270" s="136" t="str">
        <f t="shared" si="21"/>
        <v/>
      </c>
      <c r="E270" s="148"/>
      <c r="F270" s="188" t="str">
        <f t="shared" si="22"/>
        <v/>
      </c>
      <c r="G270" s="182"/>
      <c r="H270" s="182"/>
      <c r="I270" s="182"/>
      <c r="K270" s="139" t="str">
        <f t="shared" si="23"/>
        <v/>
      </c>
      <c r="L270" s="139" t="str">
        <f t="shared" si="24"/>
        <v/>
      </c>
    </row>
    <row r="271" spans="1:12">
      <c r="A271" s="137" t="str">
        <f>IF(E271="","",VLOOKUP('Opći dio'!$C$3,'Opći dio'!$L$6:$U$137,10,FALSE))</f>
        <v/>
      </c>
      <c r="B271" s="137" t="str">
        <f>IF(E271="","",VLOOKUP('Opći dio'!$C$3,'Opći dio'!$L$6:$U$137,9,FALSE))</f>
        <v/>
      </c>
      <c r="C271" s="184" t="str">
        <f t="shared" si="20"/>
        <v/>
      </c>
      <c r="D271" s="136" t="str">
        <f t="shared" si="21"/>
        <v/>
      </c>
      <c r="E271" s="148"/>
      <c r="F271" s="188" t="str">
        <f t="shared" si="22"/>
        <v/>
      </c>
      <c r="G271" s="182"/>
      <c r="H271" s="182"/>
      <c r="I271" s="182"/>
      <c r="K271" s="139" t="str">
        <f t="shared" si="23"/>
        <v/>
      </c>
      <c r="L271" s="139" t="str">
        <f t="shared" si="24"/>
        <v/>
      </c>
    </row>
    <row r="272" spans="1:12">
      <c r="A272" s="137" t="str">
        <f>IF(E272="","",VLOOKUP('Opći dio'!$C$3,'Opći dio'!$L$6:$U$137,10,FALSE))</f>
        <v/>
      </c>
      <c r="B272" s="137" t="str">
        <f>IF(E272="","",VLOOKUP('Opći dio'!$C$3,'Opći dio'!$L$6:$U$137,9,FALSE))</f>
        <v/>
      </c>
      <c r="C272" s="184" t="str">
        <f t="shared" si="20"/>
        <v/>
      </c>
      <c r="D272" s="136" t="str">
        <f t="shared" si="21"/>
        <v/>
      </c>
      <c r="E272" s="148"/>
      <c r="F272" s="188" t="str">
        <f t="shared" si="22"/>
        <v/>
      </c>
      <c r="G272" s="182"/>
      <c r="H272" s="182"/>
      <c r="I272" s="182"/>
      <c r="K272" s="139" t="str">
        <f t="shared" si="23"/>
        <v/>
      </c>
      <c r="L272" s="139" t="str">
        <f t="shared" si="24"/>
        <v/>
      </c>
    </row>
    <row r="273" spans="1:12">
      <c r="A273" s="137" t="str">
        <f>IF(E273="","",VLOOKUP('Opći dio'!$C$3,'Opći dio'!$L$6:$U$137,10,FALSE))</f>
        <v/>
      </c>
      <c r="B273" s="137" t="str">
        <f>IF(E273="","",VLOOKUP('Opći dio'!$C$3,'Opći dio'!$L$6:$U$137,9,FALSE))</f>
        <v/>
      </c>
      <c r="C273" s="184" t="str">
        <f t="shared" si="20"/>
        <v/>
      </c>
      <c r="D273" s="136" t="str">
        <f t="shared" si="21"/>
        <v/>
      </c>
      <c r="E273" s="148"/>
      <c r="F273" s="188" t="str">
        <f t="shared" si="22"/>
        <v/>
      </c>
      <c r="G273" s="182"/>
      <c r="H273" s="182"/>
      <c r="I273" s="182"/>
      <c r="K273" s="139" t="str">
        <f t="shared" si="23"/>
        <v/>
      </c>
      <c r="L273" s="139" t="str">
        <f t="shared" si="24"/>
        <v/>
      </c>
    </row>
    <row r="274" spans="1:12">
      <c r="A274" s="137" t="str">
        <f>IF(E274="","",VLOOKUP('Opći dio'!$C$3,'Opći dio'!$L$6:$U$137,10,FALSE))</f>
        <v/>
      </c>
      <c r="B274" s="137" t="str">
        <f>IF(E274="","",VLOOKUP('Opći dio'!$C$3,'Opći dio'!$L$6:$U$137,9,FALSE))</f>
        <v/>
      </c>
      <c r="C274" s="184" t="str">
        <f t="shared" si="20"/>
        <v/>
      </c>
      <c r="D274" s="136" t="str">
        <f t="shared" si="21"/>
        <v/>
      </c>
      <c r="E274" s="148"/>
      <c r="F274" s="188" t="str">
        <f t="shared" si="22"/>
        <v/>
      </c>
      <c r="G274" s="182"/>
      <c r="H274" s="182"/>
      <c r="I274" s="182"/>
      <c r="K274" s="139" t="str">
        <f t="shared" si="23"/>
        <v/>
      </c>
      <c r="L274" s="139" t="str">
        <f t="shared" si="24"/>
        <v/>
      </c>
    </row>
    <row r="275" spans="1:12">
      <c r="A275" s="137" t="str">
        <f>IF(E275="","",VLOOKUP('Opći dio'!$C$3,'Opći dio'!$L$6:$U$137,10,FALSE))</f>
        <v/>
      </c>
      <c r="B275" s="137" t="str">
        <f>IF(E275="","",VLOOKUP('Opći dio'!$C$3,'Opći dio'!$L$6:$U$137,9,FALSE))</f>
        <v/>
      </c>
      <c r="C275" s="184" t="str">
        <f t="shared" si="20"/>
        <v/>
      </c>
      <c r="D275" s="136" t="str">
        <f t="shared" si="21"/>
        <v/>
      </c>
      <c r="E275" s="148"/>
      <c r="F275" s="188" t="str">
        <f t="shared" si="22"/>
        <v/>
      </c>
      <c r="G275" s="182"/>
      <c r="H275" s="182"/>
      <c r="I275" s="182"/>
      <c r="K275" s="139" t="str">
        <f t="shared" si="23"/>
        <v/>
      </c>
      <c r="L275" s="139" t="str">
        <f t="shared" si="24"/>
        <v/>
      </c>
    </row>
    <row r="276" spans="1:12">
      <c r="A276" s="137" t="str">
        <f>IF(E276="","",VLOOKUP('Opći dio'!$C$3,'Opći dio'!$L$6:$U$137,10,FALSE))</f>
        <v/>
      </c>
      <c r="B276" s="137" t="str">
        <f>IF(E276="","",VLOOKUP('Opći dio'!$C$3,'Opći dio'!$L$6:$U$137,9,FALSE))</f>
        <v/>
      </c>
      <c r="C276" s="184" t="str">
        <f t="shared" si="20"/>
        <v/>
      </c>
      <c r="D276" s="136" t="str">
        <f t="shared" si="21"/>
        <v/>
      </c>
      <c r="E276" s="148"/>
      <c r="F276" s="188" t="str">
        <f t="shared" si="22"/>
        <v/>
      </c>
      <c r="G276" s="182"/>
      <c r="H276" s="182"/>
      <c r="I276" s="182"/>
      <c r="K276" s="139" t="str">
        <f t="shared" si="23"/>
        <v/>
      </c>
      <c r="L276" s="139" t="str">
        <f t="shared" si="24"/>
        <v/>
      </c>
    </row>
    <row r="277" spans="1:12">
      <c r="A277" s="137" t="str">
        <f>IF(E277="","",VLOOKUP('Opći dio'!$C$3,'Opći dio'!$L$6:$U$137,10,FALSE))</f>
        <v/>
      </c>
      <c r="B277" s="137" t="str">
        <f>IF(E277="","",VLOOKUP('Opći dio'!$C$3,'Opći dio'!$L$6:$U$137,9,FALSE))</f>
        <v/>
      </c>
      <c r="C277" s="184" t="str">
        <f t="shared" si="20"/>
        <v/>
      </c>
      <c r="D277" s="136" t="str">
        <f t="shared" si="21"/>
        <v/>
      </c>
      <c r="E277" s="148"/>
      <c r="F277" s="188" t="str">
        <f t="shared" si="22"/>
        <v/>
      </c>
      <c r="G277" s="182"/>
      <c r="H277" s="182"/>
      <c r="I277" s="182"/>
      <c r="K277" s="139" t="str">
        <f t="shared" si="23"/>
        <v/>
      </c>
      <c r="L277" s="139" t="str">
        <f t="shared" si="24"/>
        <v/>
      </c>
    </row>
    <row r="278" spans="1:12">
      <c r="A278" s="137" t="str">
        <f>IF(E278="","",VLOOKUP('Opći dio'!$C$3,'Opći dio'!$L$6:$U$137,10,FALSE))</f>
        <v/>
      </c>
      <c r="B278" s="137" t="str">
        <f>IF(E278="","",VLOOKUP('Opći dio'!$C$3,'Opći dio'!$L$6:$U$137,9,FALSE))</f>
        <v/>
      </c>
      <c r="C278" s="184" t="str">
        <f t="shared" si="20"/>
        <v/>
      </c>
      <c r="D278" s="136" t="str">
        <f t="shared" si="21"/>
        <v/>
      </c>
      <c r="E278" s="148"/>
      <c r="F278" s="188" t="str">
        <f t="shared" si="22"/>
        <v/>
      </c>
      <c r="G278" s="182"/>
      <c r="H278" s="182"/>
      <c r="I278" s="182"/>
      <c r="K278" s="139" t="str">
        <f t="shared" si="23"/>
        <v/>
      </c>
      <c r="L278" s="139" t="str">
        <f t="shared" si="24"/>
        <v/>
      </c>
    </row>
    <row r="279" spans="1:12">
      <c r="A279" s="137" t="str">
        <f>IF(E279="","",VLOOKUP('Opći dio'!$C$3,'Opći dio'!$L$6:$U$137,10,FALSE))</f>
        <v/>
      </c>
      <c r="B279" s="137" t="str">
        <f>IF(E279="","",VLOOKUP('Opći dio'!$C$3,'Opći dio'!$L$6:$U$137,9,FALSE))</f>
        <v/>
      </c>
      <c r="C279" s="184" t="str">
        <f t="shared" si="20"/>
        <v/>
      </c>
      <c r="D279" s="136" t="str">
        <f t="shared" si="21"/>
        <v/>
      </c>
      <c r="E279" s="148"/>
      <c r="F279" s="188" t="str">
        <f t="shared" si="22"/>
        <v/>
      </c>
      <c r="G279" s="182"/>
      <c r="H279" s="182"/>
      <c r="I279" s="182"/>
      <c r="K279" s="139" t="str">
        <f t="shared" si="23"/>
        <v/>
      </c>
      <c r="L279" s="139" t="str">
        <f t="shared" si="24"/>
        <v/>
      </c>
    </row>
    <row r="280" spans="1:12">
      <c r="A280" s="137" t="str">
        <f>IF(E280="","",VLOOKUP('Opći dio'!$C$3,'Opći dio'!$L$6:$U$137,10,FALSE))</f>
        <v/>
      </c>
      <c r="B280" s="137" t="str">
        <f>IF(E280="","",VLOOKUP('Opći dio'!$C$3,'Opći dio'!$L$6:$U$137,9,FALSE))</f>
        <v/>
      </c>
      <c r="C280" s="184" t="str">
        <f t="shared" si="20"/>
        <v/>
      </c>
      <c r="D280" s="136" t="str">
        <f t="shared" si="21"/>
        <v/>
      </c>
      <c r="E280" s="148"/>
      <c r="F280" s="188" t="str">
        <f t="shared" si="22"/>
        <v/>
      </c>
      <c r="G280" s="182"/>
      <c r="H280" s="182"/>
      <c r="I280" s="182"/>
      <c r="K280" s="139" t="str">
        <f t="shared" si="23"/>
        <v/>
      </c>
      <c r="L280" s="139" t="str">
        <f t="shared" si="24"/>
        <v/>
      </c>
    </row>
    <row r="281" spans="1:12">
      <c r="A281" s="137" t="str">
        <f>IF(E281="","",VLOOKUP('Opći dio'!$C$3,'Opći dio'!$L$6:$U$137,10,FALSE))</f>
        <v/>
      </c>
      <c r="B281" s="137" t="str">
        <f>IF(E281="","",VLOOKUP('Opći dio'!$C$3,'Opći dio'!$L$6:$U$137,9,FALSE))</f>
        <v/>
      </c>
      <c r="C281" s="184" t="str">
        <f t="shared" si="20"/>
        <v/>
      </c>
      <c r="D281" s="136" t="str">
        <f t="shared" si="21"/>
        <v/>
      </c>
      <c r="E281" s="148"/>
      <c r="F281" s="188" t="str">
        <f t="shared" si="22"/>
        <v/>
      </c>
      <c r="G281" s="182"/>
      <c r="H281" s="182"/>
      <c r="I281" s="182"/>
      <c r="K281" s="139" t="str">
        <f t="shared" si="23"/>
        <v/>
      </c>
      <c r="L281" s="139" t="str">
        <f t="shared" si="24"/>
        <v/>
      </c>
    </row>
    <row r="282" spans="1:12">
      <c r="A282" s="137" t="str">
        <f>IF(E282="","",VLOOKUP('Opći dio'!$C$3,'Opći dio'!$L$6:$U$137,10,FALSE))</f>
        <v/>
      </c>
      <c r="B282" s="137" t="str">
        <f>IF(E282="","",VLOOKUP('Opći dio'!$C$3,'Opći dio'!$L$6:$U$137,9,FALSE))</f>
        <v/>
      </c>
      <c r="C282" s="184" t="str">
        <f t="shared" si="20"/>
        <v/>
      </c>
      <c r="D282" s="136" t="str">
        <f t="shared" si="21"/>
        <v/>
      </c>
      <c r="E282" s="148"/>
      <c r="F282" s="188" t="str">
        <f t="shared" si="22"/>
        <v/>
      </c>
      <c r="G282" s="182"/>
      <c r="H282" s="182"/>
      <c r="I282" s="182"/>
      <c r="K282" s="139" t="str">
        <f t="shared" si="23"/>
        <v/>
      </c>
      <c r="L282" s="139" t="str">
        <f t="shared" si="24"/>
        <v/>
      </c>
    </row>
    <row r="283" spans="1:12">
      <c r="A283" s="137" t="str">
        <f>IF(E283="","",VLOOKUP('Opći dio'!$C$3,'Opći dio'!$L$6:$U$137,10,FALSE))</f>
        <v/>
      </c>
      <c r="B283" s="137" t="str">
        <f>IF(E283="","",VLOOKUP('Opći dio'!$C$3,'Opći dio'!$L$6:$U$137,9,FALSE))</f>
        <v/>
      </c>
      <c r="C283" s="184" t="str">
        <f t="shared" si="20"/>
        <v/>
      </c>
      <c r="D283" s="136" t="str">
        <f t="shared" si="21"/>
        <v/>
      </c>
      <c r="E283" s="148"/>
      <c r="F283" s="188" t="str">
        <f t="shared" si="22"/>
        <v/>
      </c>
      <c r="G283" s="182"/>
      <c r="H283" s="182"/>
      <c r="I283" s="182"/>
      <c r="K283" s="139" t="str">
        <f t="shared" si="23"/>
        <v/>
      </c>
      <c r="L283" s="139" t="str">
        <f t="shared" si="24"/>
        <v/>
      </c>
    </row>
    <row r="284" spans="1:12">
      <c r="A284" s="137" t="str">
        <f>IF(E284="","",VLOOKUP('Opći dio'!$C$3,'Opći dio'!$L$6:$U$137,10,FALSE))</f>
        <v/>
      </c>
      <c r="B284" s="137" t="str">
        <f>IF(E284="","",VLOOKUP('Opći dio'!$C$3,'Opći dio'!$L$6:$U$137,9,FALSE))</f>
        <v/>
      </c>
      <c r="C284" s="184" t="str">
        <f t="shared" si="20"/>
        <v/>
      </c>
      <c r="D284" s="136" t="str">
        <f t="shared" si="21"/>
        <v/>
      </c>
      <c r="E284" s="148"/>
      <c r="F284" s="188" t="str">
        <f t="shared" si="22"/>
        <v/>
      </c>
      <c r="G284" s="182"/>
      <c r="H284" s="182"/>
      <c r="I284" s="182"/>
      <c r="K284" s="139" t="str">
        <f t="shared" si="23"/>
        <v/>
      </c>
      <c r="L284" s="139" t="str">
        <f t="shared" si="24"/>
        <v/>
      </c>
    </row>
    <row r="285" spans="1:12">
      <c r="A285" s="137" t="str">
        <f>IF(E285="","",VLOOKUP('Opći dio'!$C$3,'Opći dio'!$L$6:$U$137,10,FALSE))</f>
        <v/>
      </c>
      <c r="B285" s="137" t="str">
        <f>IF(E285="","",VLOOKUP('Opći dio'!$C$3,'Opći dio'!$L$6:$U$137,9,FALSE))</f>
        <v/>
      </c>
      <c r="C285" s="184" t="str">
        <f t="shared" si="20"/>
        <v/>
      </c>
      <c r="D285" s="136" t="str">
        <f t="shared" si="21"/>
        <v/>
      </c>
      <c r="E285" s="148"/>
      <c r="F285" s="188" t="str">
        <f t="shared" si="22"/>
        <v/>
      </c>
      <c r="G285" s="182"/>
      <c r="H285" s="182"/>
      <c r="I285" s="182"/>
      <c r="K285" s="139" t="str">
        <f t="shared" si="23"/>
        <v/>
      </c>
      <c r="L285" s="139" t="str">
        <f t="shared" si="24"/>
        <v/>
      </c>
    </row>
    <row r="286" spans="1:12">
      <c r="A286" s="137" t="str">
        <f>IF(E286="","",VLOOKUP('Opći dio'!$C$3,'Opći dio'!$L$6:$U$137,10,FALSE))</f>
        <v/>
      </c>
      <c r="B286" s="137" t="str">
        <f>IF(E286="","",VLOOKUP('Opći dio'!$C$3,'Opći dio'!$L$6:$U$137,9,FALSE))</f>
        <v/>
      </c>
      <c r="C286" s="184" t="str">
        <f t="shared" si="20"/>
        <v/>
      </c>
      <c r="D286" s="136" t="str">
        <f t="shared" si="21"/>
        <v/>
      </c>
      <c r="E286" s="148"/>
      <c r="F286" s="188" t="str">
        <f t="shared" si="22"/>
        <v/>
      </c>
      <c r="G286" s="182"/>
      <c r="H286" s="182"/>
      <c r="I286" s="182"/>
      <c r="K286" s="139" t="str">
        <f t="shared" si="23"/>
        <v/>
      </c>
      <c r="L286" s="139" t="str">
        <f t="shared" si="24"/>
        <v/>
      </c>
    </row>
    <row r="287" spans="1:12">
      <c r="A287" s="137" t="str">
        <f>IF(E287="","",VLOOKUP('Opći dio'!$C$3,'Opći dio'!$L$6:$U$137,10,FALSE))</f>
        <v/>
      </c>
      <c r="B287" s="137" t="str">
        <f>IF(E287="","",VLOOKUP('Opći dio'!$C$3,'Opći dio'!$L$6:$U$137,9,FALSE))</f>
        <v/>
      </c>
      <c r="C287" s="184" t="str">
        <f t="shared" si="20"/>
        <v/>
      </c>
      <c r="D287" s="136" t="str">
        <f t="shared" si="21"/>
        <v/>
      </c>
      <c r="E287" s="148"/>
      <c r="F287" s="188" t="str">
        <f t="shared" si="22"/>
        <v/>
      </c>
      <c r="G287" s="182"/>
      <c r="H287" s="182"/>
      <c r="I287" s="182"/>
      <c r="K287" s="139" t="str">
        <f t="shared" si="23"/>
        <v/>
      </c>
      <c r="L287" s="139" t="str">
        <f t="shared" si="24"/>
        <v/>
      </c>
    </row>
    <row r="288" spans="1:12">
      <c r="A288" s="137" t="str">
        <f>IF(E288="","",VLOOKUP('Opći dio'!$C$3,'Opći dio'!$L$6:$U$137,10,FALSE))</f>
        <v/>
      </c>
      <c r="B288" s="137" t="str">
        <f>IF(E288="","",VLOOKUP('Opći dio'!$C$3,'Opći dio'!$L$6:$U$137,9,FALSE))</f>
        <v/>
      </c>
      <c r="C288" s="184" t="str">
        <f t="shared" si="20"/>
        <v/>
      </c>
      <c r="D288" s="136" t="str">
        <f t="shared" si="21"/>
        <v/>
      </c>
      <c r="E288" s="148"/>
      <c r="F288" s="188" t="str">
        <f t="shared" si="22"/>
        <v/>
      </c>
      <c r="G288" s="182"/>
      <c r="H288" s="182"/>
      <c r="I288" s="182"/>
      <c r="K288" s="139" t="str">
        <f t="shared" si="23"/>
        <v/>
      </c>
      <c r="L288" s="139" t="str">
        <f t="shared" si="24"/>
        <v/>
      </c>
    </row>
    <row r="289" spans="1:12">
      <c r="A289" s="137" t="str">
        <f>IF(E289="","",VLOOKUP('Opći dio'!$C$3,'Opći dio'!$L$6:$U$137,10,FALSE))</f>
        <v/>
      </c>
      <c r="B289" s="137" t="str">
        <f>IF(E289="","",VLOOKUP('Opći dio'!$C$3,'Opći dio'!$L$6:$U$137,9,FALSE))</f>
        <v/>
      </c>
      <c r="C289" s="184" t="str">
        <f t="shared" si="20"/>
        <v/>
      </c>
      <c r="D289" s="136" t="str">
        <f t="shared" si="21"/>
        <v/>
      </c>
      <c r="E289" s="148"/>
      <c r="F289" s="188" t="str">
        <f t="shared" si="22"/>
        <v/>
      </c>
      <c r="G289" s="182"/>
      <c r="H289" s="182"/>
      <c r="I289" s="182"/>
      <c r="K289" s="139" t="str">
        <f t="shared" si="23"/>
        <v/>
      </c>
      <c r="L289" s="139" t="str">
        <f t="shared" si="24"/>
        <v/>
      </c>
    </row>
    <row r="290" spans="1:12">
      <c r="A290" s="137" t="str">
        <f>IF(E290="","",VLOOKUP('Opći dio'!$C$3,'Opći dio'!$L$6:$U$137,10,FALSE))</f>
        <v/>
      </c>
      <c r="B290" s="137" t="str">
        <f>IF(E290="","",VLOOKUP('Opći dio'!$C$3,'Opći dio'!$L$6:$U$137,9,FALSE))</f>
        <v/>
      </c>
      <c r="C290" s="184" t="str">
        <f t="shared" si="20"/>
        <v/>
      </c>
      <c r="D290" s="136" t="str">
        <f t="shared" si="21"/>
        <v/>
      </c>
      <c r="E290" s="148"/>
      <c r="F290" s="188" t="str">
        <f t="shared" si="22"/>
        <v/>
      </c>
      <c r="G290" s="182"/>
      <c r="H290" s="182"/>
      <c r="I290" s="182"/>
      <c r="K290" s="139" t="str">
        <f t="shared" si="23"/>
        <v/>
      </c>
      <c r="L290" s="139" t="str">
        <f t="shared" si="24"/>
        <v/>
      </c>
    </row>
    <row r="291" spans="1:12">
      <c r="A291" s="137" t="str">
        <f>IF(E291="","",VLOOKUP('Opći dio'!$C$3,'Opći dio'!$L$6:$U$137,10,FALSE))</f>
        <v/>
      </c>
      <c r="B291" s="137" t="str">
        <f>IF(E291="","",VLOOKUP('Opći dio'!$C$3,'Opći dio'!$L$6:$U$137,9,FALSE))</f>
        <v/>
      </c>
      <c r="C291" s="184" t="str">
        <f t="shared" si="20"/>
        <v/>
      </c>
      <c r="D291" s="136" t="str">
        <f t="shared" si="21"/>
        <v/>
      </c>
      <c r="E291" s="148"/>
      <c r="F291" s="188" t="str">
        <f t="shared" si="22"/>
        <v/>
      </c>
      <c r="G291" s="182"/>
      <c r="H291" s="182"/>
      <c r="I291" s="182"/>
      <c r="K291" s="139" t="str">
        <f t="shared" si="23"/>
        <v/>
      </c>
      <c r="L291" s="139" t="str">
        <f t="shared" si="24"/>
        <v/>
      </c>
    </row>
    <row r="292" spans="1:12">
      <c r="A292" s="137" t="str">
        <f>IF(E292="","",VLOOKUP('Opći dio'!$C$3,'Opći dio'!$L$6:$U$137,10,FALSE))</f>
        <v/>
      </c>
      <c r="B292" s="137" t="str">
        <f>IF(E292="","",VLOOKUP('Opći dio'!$C$3,'Opći dio'!$L$6:$U$137,9,FALSE))</f>
        <v/>
      </c>
      <c r="C292" s="184" t="str">
        <f t="shared" si="20"/>
        <v/>
      </c>
      <c r="D292" s="136" t="str">
        <f t="shared" si="21"/>
        <v/>
      </c>
      <c r="E292" s="148"/>
      <c r="F292" s="188" t="str">
        <f t="shared" si="22"/>
        <v/>
      </c>
      <c r="G292" s="182"/>
      <c r="H292" s="182"/>
      <c r="I292" s="182"/>
      <c r="K292" s="139" t="str">
        <f t="shared" si="23"/>
        <v/>
      </c>
      <c r="L292" s="139" t="str">
        <f t="shared" si="24"/>
        <v/>
      </c>
    </row>
    <row r="293" spans="1:12">
      <c r="A293" s="137" t="str">
        <f>IF(E293="","",VLOOKUP('Opći dio'!$C$3,'Opći dio'!$L$6:$U$137,10,FALSE))</f>
        <v/>
      </c>
      <c r="B293" s="137" t="str">
        <f>IF(E293="","",VLOOKUP('Opći dio'!$C$3,'Opći dio'!$L$6:$U$137,9,FALSE))</f>
        <v/>
      </c>
      <c r="C293" s="184" t="str">
        <f t="shared" si="20"/>
        <v/>
      </c>
      <c r="D293" s="136" t="str">
        <f t="shared" si="21"/>
        <v/>
      </c>
      <c r="E293" s="148"/>
      <c r="F293" s="188" t="str">
        <f t="shared" si="22"/>
        <v/>
      </c>
      <c r="G293" s="182"/>
      <c r="H293" s="182"/>
      <c r="I293" s="182"/>
      <c r="K293" s="139" t="str">
        <f t="shared" si="23"/>
        <v/>
      </c>
      <c r="L293" s="139" t="str">
        <f t="shared" si="24"/>
        <v/>
      </c>
    </row>
    <row r="294" spans="1:12">
      <c r="A294" s="137" t="str">
        <f>IF(E294="","",VLOOKUP('Opći dio'!$C$3,'Opći dio'!$L$6:$U$137,10,FALSE))</f>
        <v/>
      </c>
      <c r="B294" s="137" t="str">
        <f>IF(E294="","",VLOOKUP('Opći dio'!$C$3,'Opći dio'!$L$6:$U$137,9,FALSE))</f>
        <v/>
      </c>
      <c r="C294" s="184" t="str">
        <f t="shared" si="20"/>
        <v/>
      </c>
      <c r="D294" s="136" t="str">
        <f t="shared" si="21"/>
        <v/>
      </c>
      <c r="E294" s="148"/>
      <c r="F294" s="188" t="str">
        <f t="shared" si="22"/>
        <v/>
      </c>
      <c r="G294" s="182"/>
      <c r="H294" s="182"/>
      <c r="I294" s="182"/>
      <c r="K294" s="139" t="str">
        <f t="shared" si="23"/>
        <v/>
      </c>
      <c r="L294" s="139" t="str">
        <f t="shared" si="24"/>
        <v/>
      </c>
    </row>
    <row r="295" spans="1:12">
      <c r="A295" s="137" t="str">
        <f>IF(E295="","",VLOOKUP('Opći dio'!$C$3,'Opći dio'!$L$6:$U$137,10,FALSE))</f>
        <v/>
      </c>
      <c r="B295" s="137" t="str">
        <f>IF(E295="","",VLOOKUP('Opći dio'!$C$3,'Opći dio'!$L$6:$U$137,9,FALSE))</f>
        <v/>
      </c>
      <c r="C295" s="184" t="str">
        <f t="shared" si="20"/>
        <v/>
      </c>
      <c r="D295" s="136" t="str">
        <f t="shared" si="21"/>
        <v/>
      </c>
      <c r="E295" s="148"/>
      <c r="F295" s="188" t="str">
        <f t="shared" si="22"/>
        <v/>
      </c>
      <c r="G295" s="182"/>
      <c r="H295" s="182"/>
      <c r="I295" s="182"/>
      <c r="K295" s="139" t="str">
        <f t="shared" si="23"/>
        <v/>
      </c>
      <c r="L295" s="139" t="str">
        <f t="shared" si="24"/>
        <v/>
      </c>
    </row>
    <row r="296" spans="1:12">
      <c r="A296" s="137" t="str">
        <f>IF(E296="","",VLOOKUP('Opći dio'!$C$3,'Opći dio'!$L$6:$U$137,10,FALSE))</f>
        <v/>
      </c>
      <c r="B296" s="137" t="str">
        <f>IF(E296="","",VLOOKUP('Opći dio'!$C$3,'Opći dio'!$L$6:$U$137,9,FALSE))</f>
        <v/>
      </c>
      <c r="C296" s="184" t="str">
        <f t="shared" si="20"/>
        <v/>
      </c>
      <c r="D296" s="136" t="str">
        <f t="shared" si="21"/>
        <v/>
      </c>
      <c r="E296" s="148"/>
      <c r="F296" s="188" t="str">
        <f t="shared" si="22"/>
        <v/>
      </c>
      <c r="G296" s="182"/>
      <c r="H296" s="182"/>
      <c r="I296" s="182"/>
      <c r="K296" s="139" t="str">
        <f t="shared" si="23"/>
        <v/>
      </c>
      <c r="L296" s="139" t="str">
        <f t="shared" si="24"/>
        <v/>
      </c>
    </row>
    <row r="297" spans="1:12">
      <c r="A297" s="137" t="str">
        <f>IF(E297="","",VLOOKUP('Opći dio'!$C$3,'Opći dio'!$L$6:$U$137,10,FALSE))</f>
        <v/>
      </c>
      <c r="B297" s="137" t="str">
        <f>IF(E297="","",VLOOKUP('Opći dio'!$C$3,'Opći dio'!$L$6:$U$137,9,FALSE))</f>
        <v/>
      </c>
      <c r="C297" s="184" t="str">
        <f t="shared" si="20"/>
        <v/>
      </c>
      <c r="D297" s="136" t="str">
        <f t="shared" si="21"/>
        <v/>
      </c>
      <c r="E297" s="148"/>
      <c r="F297" s="188" t="str">
        <f t="shared" si="22"/>
        <v/>
      </c>
      <c r="G297" s="182"/>
      <c r="H297" s="182"/>
      <c r="I297" s="182"/>
      <c r="K297" s="139" t="str">
        <f t="shared" si="23"/>
        <v/>
      </c>
      <c r="L297" s="139" t="str">
        <f t="shared" si="24"/>
        <v/>
      </c>
    </row>
    <row r="298" spans="1:12">
      <c r="A298" s="137" t="str">
        <f>IF(E298="","",VLOOKUP('Opći dio'!$C$3,'Opći dio'!$L$6:$U$137,10,FALSE))</f>
        <v/>
      </c>
      <c r="B298" s="137" t="str">
        <f>IF(E298="","",VLOOKUP('Opći dio'!$C$3,'Opći dio'!$L$6:$U$137,9,FALSE))</f>
        <v/>
      </c>
      <c r="C298" s="184" t="str">
        <f t="shared" si="20"/>
        <v/>
      </c>
      <c r="D298" s="136" t="str">
        <f t="shared" si="21"/>
        <v/>
      </c>
      <c r="E298" s="148"/>
      <c r="F298" s="188" t="str">
        <f t="shared" si="22"/>
        <v/>
      </c>
      <c r="G298" s="182"/>
      <c r="H298" s="182"/>
      <c r="I298" s="182"/>
      <c r="K298" s="139" t="str">
        <f t="shared" si="23"/>
        <v/>
      </c>
      <c r="L298" s="139" t="str">
        <f t="shared" si="24"/>
        <v/>
      </c>
    </row>
    <row r="299" spans="1:12">
      <c r="A299" s="137" t="str">
        <f>IF(E299="","",VLOOKUP('Opći dio'!$C$3,'Opći dio'!$L$6:$U$137,10,FALSE))</f>
        <v/>
      </c>
      <c r="B299" s="137" t="str">
        <f>IF(E299="","",VLOOKUP('Opći dio'!$C$3,'Opći dio'!$L$6:$U$137,9,FALSE))</f>
        <v/>
      </c>
      <c r="C299" s="184" t="str">
        <f t="shared" si="20"/>
        <v/>
      </c>
      <c r="D299" s="136" t="str">
        <f t="shared" si="21"/>
        <v/>
      </c>
      <c r="E299" s="148"/>
      <c r="F299" s="188" t="str">
        <f t="shared" si="22"/>
        <v/>
      </c>
      <c r="G299" s="182"/>
      <c r="H299" s="182"/>
      <c r="I299" s="182"/>
      <c r="K299" s="139" t="str">
        <f t="shared" si="23"/>
        <v/>
      </c>
      <c r="L299" s="139" t="str">
        <f t="shared" si="24"/>
        <v/>
      </c>
    </row>
    <row r="300" spans="1:12">
      <c r="A300" s="137" t="str">
        <f>IF(E300="","",VLOOKUP('Opći dio'!$C$3,'Opći dio'!$L$6:$U$137,10,FALSE))</f>
        <v/>
      </c>
      <c r="B300" s="137" t="str">
        <f>IF(E300="","",VLOOKUP('Opći dio'!$C$3,'Opći dio'!$L$6:$U$137,9,FALSE))</f>
        <v/>
      </c>
      <c r="C300" s="184" t="str">
        <f t="shared" si="20"/>
        <v/>
      </c>
      <c r="D300" s="136" t="str">
        <f t="shared" si="21"/>
        <v/>
      </c>
      <c r="E300" s="148"/>
      <c r="F300" s="188" t="str">
        <f t="shared" si="22"/>
        <v/>
      </c>
      <c r="G300" s="182"/>
      <c r="H300" s="182"/>
      <c r="I300" s="182"/>
      <c r="K300" s="139" t="str">
        <f t="shared" si="23"/>
        <v/>
      </c>
      <c r="L300" s="139" t="str">
        <f t="shared" si="24"/>
        <v/>
      </c>
    </row>
    <row r="301" spans="1:12">
      <c r="A301" s="137" t="str">
        <f>IF(E301="","",VLOOKUP('Opći dio'!$C$3,'Opći dio'!$L$6:$U$137,10,FALSE))</f>
        <v/>
      </c>
      <c r="B301" s="137" t="str">
        <f>IF(E301="","",VLOOKUP('Opći dio'!$C$3,'Opći dio'!$L$6:$U$137,9,FALSE))</f>
        <v/>
      </c>
      <c r="C301" s="184" t="str">
        <f t="shared" si="20"/>
        <v/>
      </c>
      <c r="D301" s="136" t="str">
        <f t="shared" si="21"/>
        <v/>
      </c>
      <c r="E301" s="148"/>
      <c r="F301" s="188" t="str">
        <f t="shared" si="22"/>
        <v/>
      </c>
      <c r="G301" s="182"/>
      <c r="H301" s="182"/>
      <c r="I301" s="182"/>
      <c r="K301" s="139" t="str">
        <f t="shared" si="23"/>
        <v/>
      </c>
      <c r="L301" s="139" t="str">
        <f t="shared" si="24"/>
        <v/>
      </c>
    </row>
    <row r="302" spans="1:12">
      <c r="A302" s="137" t="str">
        <f>IF(E302="","",VLOOKUP('Opći dio'!$C$3,'Opći dio'!$L$6:$U$137,10,FALSE))</f>
        <v/>
      </c>
      <c r="B302" s="137" t="str">
        <f>IF(E302="","",VLOOKUP('Opći dio'!$C$3,'Opći dio'!$L$6:$U$137,9,FALSE))</f>
        <v/>
      </c>
      <c r="C302" s="184" t="str">
        <f t="shared" si="20"/>
        <v/>
      </c>
      <c r="D302" s="136" t="str">
        <f t="shared" si="21"/>
        <v/>
      </c>
      <c r="E302" s="148"/>
      <c r="F302" s="188" t="str">
        <f t="shared" si="22"/>
        <v/>
      </c>
      <c r="G302" s="182"/>
      <c r="H302" s="182"/>
      <c r="I302" s="182"/>
      <c r="K302" s="139" t="str">
        <f t="shared" si="23"/>
        <v/>
      </c>
      <c r="L302" s="139" t="str">
        <f t="shared" si="24"/>
        <v/>
      </c>
    </row>
    <row r="303" spans="1:12">
      <c r="A303" s="137" t="str">
        <f>IF(E303="","",VLOOKUP('Opći dio'!$C$3,'Opći dio'!$L$6:$U$137,10,FALSE))</f>
        <v/>
      </c>
      <c r="B303" s="137" t="str">
        <f>IF(E303="","",VLOOKUP('Opći dio'!$C$3,'Opći dio'!$L$6:$U$137,9,FALSE))</f>
        <v/>
      </c>
      <c r="C303" s="184" t="str">
        <f t="shared" si="20"/>
        <v/>
      </c>
      <c r="D303" s="136" t="str">
        <f t="shared" si="21"/>
        <v/>
      </c>
      <c r="E303" s="148"/>
      <c r="F303" s="188" t="str">
        <f t="shared" si="22"/>
        <v/>
      </c>
      <c r="G303" s="182"/>
      <c r="H303" s="182"/>
      <c r="I303" s="182"/>
      <c r="K303" s="139" t="str">
        <f t="shared" si="23"/>
        <v/>
      </c>
      <c r="L303" s="139" t="str">
        <f t="shared" si="24"/>
        <v/>
      </c>
    </row>
    <row r="304" spans="1:12">
      <c r="A304" s="137" t="str">
        <f>IF(E304="","",VLOOKUP('Opći dio'!$C$3,'Opći dio'!$L$6:$U$137,10,FALSE))</f>
        <v/>
      </c>
      <c r="B304" s="137" t="str">
        <f>IF(E304="","",VLOOKUP('Opći dio'!$C$3,'Opći dio'!$L$6:$U$137,9,FALSE))</f>
        <v/>
      </c>
      <c r="C304" s="184" t="str">
        <f t="shared" si="20"/>
        <v/>
      </c>
      <c r="D304" s="136" t="str">
        <f t="shared" si="21"/>
        <v/>
      </c>
      <c r="E304" s="148"/>
      <c r="F304" s="188" t="str">
        <f t="shared" si="22"/>
        <v/>
      </c>
      <c r="G304" s="182"/>
      <c r="H304" s="182"/>
      <c r="I304" s="182"/>
      <c r="K304" s="139" t="str">
        <f t="shared" si="23"/>
        <v/>
      </c>
      <c r="L304" s="139" t="str">
        <f t="shared" si="24"/>
        <v/>
      </c>
    </row>
    <row r="305" spans="1:12">
      <c r="A305" s="137" t="str">
        <f>IF(E305="","",VLOOKUP('Opći dio'!$C$3,'Opći dio'!$L$6:$U$137,10,FALSE))</f>
        <v/>
      </c>
      <c r="B305" s="137" t="str">
        <f>IF(E305="","",VLOOKUP('Opći dio'!$C$3,'Opći dio'!$L$6:$U$137,9,FALSE))</f>
        <v/>
      </c>
      <c r="C305" s="184" t="str">
        <f t="shared" si="20"/>
        <v/>
      </c>
      <c r="D305" s="136" t="str">
        <f t="shared" si="21"/>
        <v/>
      </c>
      <c r="E305" s="148"/>
      <c r="F305" s="188" t="str">
        <f t="shared" si="22"/>
        <v/>
      </c>
      <c r="G305" s="182"/>
      <c r="H305" s="182"/>
      <c r="I305" s="182"/>
      <c r="K305" s="139" t="str">
        <f t="shared" si="23"/>
        <v/>
      </c>
      <c r="L305" s="139" t="str">
        <f t="shared" si="24"/>
        <v/>
      </c>
    </row>
    <row r="306" spans="1:12">
      <c r="A306" s="137" t="str">
        <f>IF(E306="","",VLOOKUP('Opći dio'!$C$3,'Opći dio'!$L$6:$U$137,10,FALSE))</f>
        <v/>
      </c>
      <c r="B306" s="137" t="str">
        <f>IF(E306="","",VLOOKUP('Opći dio'!$C$3,'Opći dio'!$L$6:$U$137,9,FALSE))</f>
        <v/>
      </c>
      <c r="C306" s="184" t="str">
        <f t="shared" si="20"/>
        <v/>
      </c>
      <c r="D306" s="136" t="str">
        <f t="shared" si="21"/>
        <v/>
      </c>
      <c r="E306" s="148"/>
      <c r="F306" s="188" t="str">
        <f t="shared" si="22"/>
        <v/>
      </c>
      <c r="G306" s="182"/>
      <c r="H306" s="182"/>
      <c r="I306" s="182"/>
      <c r="K306" s="139" t="str">
        <f t="shared" si="23"/>
        <v/>
      </c>
      <c r="L306" s="139" t="str">
        <f t="shared" si="24"/>
        <v/>
      </c>
    </row>
    <row r="307" spans="1:12">
      <c r="A307" s="137" t="str">
        <f>IF(E307="","",VLOOKUP('Opći dio'!$C$3,'Opći dio'!$L$6:$U$137,10,FALSE))</f>
        <v/>
      </c>
      <c r="B307" s="137" t="str">
        <f>IF(E307="","",VLOOKUP('Opći dio'!$C$3,'Opći dio'!$L$6:$U$137,9,FALSE))</f>
        <v/>
      </c>
      <c r="C307" s="184" t="str">
        <f t="shared" si="20"/>
        <v/>
      </c>
      <c r="D307" s="136" t="str">
        <f t="shared" si="21"/>
        <v/>
      </c>
      <c r="E307" s="148"/>
      <c r="F307" s="188" t="str">
        <f t="shared" si="22"/>
        <v/>
      </c>
      <c r="G307" s="182"/>
      <c r="H307" s="182"/>
      <c r="I307" s="182"/>
      <c r="K307" s="139" t="str">
        <f t="shared" si="23"/>
        <v/>
      </c>
      <c r="L307" s="139" t="str">
        <f t="shared" si="24"/>
        <v/>
      </c>
    </row>
    <row r="308" spans="1:12">
      <c r="A308" s="137" t="str">
        <f>IF(E308="","",VLOOKUP('Opći dio'!$C$3,'Opći dio'!$L$6:$U$137,10,FALSE))</f>
        <v/>
      </c>
      <c r="B308" s="137" t="str">
        <f>IF(E308="","",VLOOKUP('Opći dio'!$C$3,'Opći dio'!$L$6:$U$137,9,FALSE))</f>
        <v/>
      </c>
      <c r="C308" s="184" t="str">
        <f t="shared" si="20"/>
        <v/>
      </c>
      <c r="D308" s="136" t="str">
        <f t="shared" si="21"/>
        <v/>
      </c>
      <c r="E308" s="148"/>
      <c r="F308" s="188" t="str">
        <f t="shared" si="22"/>
        <v/>
      </c>
      <c r="G308" s="182"/>
      <c r="H308" s="182"/>
      <c r="I308" s="182"/>
      <c r="K308" s="139" t="str">
        <f t="shared" si="23"/>
        <v/>
      </c>
      <c r="L308" s="139" t="str">
        <f t="shared" si="24"/>
        <v/>
      </c>
    </row>
    <row r="309" spans="1:12">
      <c r="A309" s="137" t="str">
        <f>IF(E309="","",VLOOKUP('Opći dio'!$C$3,'Opći dio'!$L$6:$U$137,10,FALSE))</f>
        <v/>
      </c>
      <c r="B309" s="137" t="str">
        <f>IF(E309="","",VLOOKUP('Opći dio'!$C$3,'Opći dio'!$L$6:$U$137,9,FALSE))</f>
        <v/>
      </c>
      <c r="C309" s="184" t="str">
        <f t="shared" si="20"/>
        <v/>
      </c>
      <c r="D309" s="136" t="str">
        <f t="shared" si="21"/>
        <v/>
      </c>
      <c r="E309" s="148"/>
      <c r="F309" s="188" t="str">
        <f t="shared" si="22"/>
        <v/>
      </c>
      <c r="G309" s="182"/>
      <c r="H309" s="182"/>
      <c r="I309" s="182"/>
      <c r="K309" s="139" t="str">
        <f t="shared" si="23"/>
        <v/>
      </c>
      <c r="L309" s="139" t="str">
        <f t="shared" si="24"/>
        <v/>
      </c>
    </row>
    <row r="310" spans="1:12">
      <c r="A310" s="137" t="str">
        <f>IF(E310="","",VLOOKUP('Opći dio'!$C$3,'Opći dio'!$L$6:$U$137,10,FALSE))</f>
        <v/>
      </c>
      <c r="B310" s="137" t="str">
        <f>IF(E310="","",VLOOKUP('Opći dio'!$C$3,'Opći dio'!$L$6:$U$137,9,FALSE))</f>
        <v/>
      </c>
      <c r="C310" s="184" t="str">
        <f t="shared" si="20"/>
        <v/>
      </c>
      <c r="D310" s="136" t="str">
        <f t="shared" si="21"/>
        <v/>
      </c>
      <c r="E310" s="148"/>
      <c r="F310" s="188" t="str">
        <f t="shared" si="22"/>
        <v/>
      </c>
      <c r="G310" s="182"/>
      <c r="H310" s="182"/>
      <c r="I310" s="182"/>
      <c r="K310" s="139" t="str">
        <f t="shared" si="23"/>
        <v/>
      </c>
      <c r="L310" s="139" t="str">
        <f t="shared" si="24"/>
        <v/>
      </c>
    </row>
    <row r="311" spans="1:12">
      <c r="A311" s="137" t="str">
        <f>IF(E311="","",VLOOKUP('Opći dio'!$C$3,'Opći dio'!$L$6:$U$137,10,FALSE))</f>
        <v/>
      </c>
      <c r="B311" s="137" t="str">
        <f>IF(E311="","",VLOOKUP('Opći dio'!$C$3,'Opći dio'!$L$6:$U$137,9,FALSE))</f>
        <v/>
      </c>
      <c r="C311" s="184" t="str">
        <f t="shared" si="20"/>
        <v/>
      </c>
      <c r="D311" s="136" t="str">
        <f t="shared" si="21"/>
        <v/>
      </c>
      <c r="E311" s="148"/>
      <c r="F311" s="188" t="str">
        <f t="shared" si="22"/>
        <v/>
      </c>
      <c r="G311" s="182"/>
      <c r="H311" s="182"/>
      <c r="I311" s="182"/>
      <c r="K311" s="139" t="str">
        <f t="shared" si="23"/>
        <v/>
      </c>
      <c r="L311" s="139" t="str">
        <f t="shared" si="24"/>
        <v/>
      </c>
    </row>
    <row r="312" spans="1:12">
      <c r="A312" s="137" t="str">
        <f>IF(E312="","",VLOOKUP('Opći dio'!$C$3,'Opći dio'!$L$6:$U$137,10,FALSE))</f>
        <v/>
      </c>
      <c r="B312" s="137" t="str">
        <f>IF(E312="","",VLOOKUP('Opći dio'!$C$3,'Opći dio'!$L$6:$U$137,9,FALSE))</f>
        <v/>
      </c>
      <c r="C312" s="184" t="str">
        <f t="shared" si="20"/>
        <v/>
      </c>
      <c r="D312" s="136" t="str">
        <f t="shared" si="21"/>
        <v/>
      </c>
      <c r="E312" s="148"/>
      <c r="F312" s="188" t="str">
        <f t="shared" si="22"/>
        <v/>
      </c>
      <c r="G312" s="182"/>
      <c r="H312" s="182"/>
      <c r="I312" s="182"/>
      <c r="K312" s="139" t="str">
        <f t="shared" si="23"/>
        <v/>
      </c>
      <c r="L312" s="139" t="str">
        <f t="shared" si="24"/>
        <v/>
      </c>
    </row>
    <row r="313" spans="1:12">
      <c r="A313" s="137" t="str">
        <f>IF(E313="","",VLOOKUP('Opći dio'!$C$3,'Opći dio'!$L$6:$U$137,10,FALSE))</f>
        <v/>
      </c>
      <c r="B313" s="137" t="str">
        <f>IF(E313="","",VLOOKUP('Opći dio'!$C$3,'Opći dio'!$L$6:$U$137,9,FALSE))</f>
        <v/>
      </c>
      <c r="C313" s="184" t="str">
        <f t="shared" si="20"/>
        <v/>
      </c>
      <c r="D313" s="136" t="str">
        <f t="shared" si="21"/>
        <v/>
      </c>
      <c r="E313" s="148"/>
      <c r="F313" s="188" t="str">
        <f t="shared" si="22"/>
        <v/>
      </c>
      <c r="G313" s="182"/>
      <c r="H313" s="182"/>
      <c r="I313" s="182"/>
      <c r="K313" s="139" t="str">
        <f t="shared" si="23"/>
        <v/>
      </c>
      <c r="L313" s="139" t="str">
        <f t="shared" si="24"/>
        <v/>
      </c>
    </row>
    <row r="314" spans="1:12">
      <c r="A314" s="137" t="str">
        <f>IF(E314="","",VLOOKUP('Opći dio'!$C$3,'Opći dio'!$L$6:$U$137,10,FALSE))</f>
        <v/>
      </c>
      <c r="B314" s="137" t="str">
        <f>IF(E314="","",VLOOKUP('Opći dio'!$C$3,'Opći dio'!$L$6:$U$137,9,FALSE))</f>
        <v/>
      </c>
      <c r="C314" s="184" t="str">
        <f t="shared" si="20"/>
        <v/>
      </c>
      <c r="D314" s="136" t="str">
        <f t="shared" si="21"/>
        <v/>
      </c>
      <c r="E314" s="148"/>
      <c r="F314" s="188" t="str">
        <f t="shared" si="22"/>
        <v/>
      </c>
      <c r="G314" s="182"/>
      <c r="H314" s="182"/>
      <c r="I314" s="182"/>
      <c r="K314" s="139" t="str">
        <f t="shared" si="23"/>
        <v/>
      </c>
      <c r="L314" s="139" t="str">
        <f t="shared" si="24"/>
        <v/>
      </c>
    </row>
    <row r="315" spans="1:12">
      <c r="A315" s="137" t="str">
        <f>IF(E315="","",VLOOKUP('Opći dio'!$C$3,'Opći dio'!$L$6:$U$137,10,FALSE))</f>
        <v/>
      </c>
      <c r="B315" s="137" t="str">
        <f>IF(E315="","",VLOOKUP('Opći dio'!$C$3,'Opći dio'!$L$6:$U$137,9,FALSE))</f>
        <v/>
      </c>
      <c r="C315" s="184" t="str">
        <f t="shared" si="20"/>
        <v/>
      </c>
      <c r="D315" s="136" t="str">
        <f t="shared" si="21"/>
        <v/>
      </c>
      <c r="E315" s="148"/>
      <c r="F315" s="188" t="str">
        <f t="shared" si="22"/>
        <v/>
      </c>
      <c r="G315" s="182"/>
      <c r="H315" s="182"/>
      <c r="I315" s="182"/>
      <c r="K315" s="139" t="str">
        <f t="shared" si="23"/>
        <v/>
      </c>
      <c r="L315" s="139" t="str">
        <f t="shared" si="24"/>
        <v/>
      </c>
    </row>
    <row r="316" spans="1:12">
      <c r="A316" s="137" t="str">
        <f>IF(E316="","",VLOOKUP('Opći dio'!$C$3,'Opći dio'!$L$6:$U$137,10,FALSE))</f>
        <v/>
      </c>
      <c r="B316" s="137" t="str">
        <f>IF(E316="","",VLOOKUP('Opći dio'!$C$3,'Opći dio'!$L$6:$U$137,9,FALSE))</f>
        <v/>
      </c>
      <c r="C316" s="184" t="str">
        <f t="shared" si="20"/>
        <v/>
      </c>
      <c r="D316" s="136" t="str">
        <f t="shared" si="21"/>
        <v/>
      </c>
      <c r="E316" s="148"/>
      <c r="F316" s="188" t="str">
        <f t="shared" si="22"/>
        <v/>
      </c>
      <c r="G316" s="182"/>
      <c r="H316" s="182"/>
      <c r="I316" s="182"/>
      <c r="K316" s="139" t="str">
        <f t="shared" si="23"/>
        <v/>
      </c>
      <c r="L316" s="139" t="str">
        <f t="shared" si="24"/>
        <v/>
      </c>
    </row>
    <row r="317" spans="1:12">
      <c r="A317" s="137" t="str">
        <f>IF(E317="","",VLOOKUP('Opći dio'!$C$3,'Opći dio'!$L$6:$U$137,10,FALSE))</f>
        <v/>
      </c>
      <c r="B317" s="137" t="str">
        <f>IF(E317="","",VLOOKUP('Opći dio'!$C$3,'Opći dio'!$L$6:$U$137,9,FALSE))</f>
        <v/>
      </c>
      <c r="C317" s="184" t="str">
        <f t="shared" si="20"/>
        <v/>
      </c>
      <c r="D317" s="136" t="str">
        <f t="shared" si="21"/>
        <v/>
      </c>
      <c r="E317" s="148"/>
      <c r="F317" s="188" t="str">
        <f t="shared" si="22"/>
        <v/>
      </c>
      <c r="G317" s="182"/>
      <c r="H317" s="182"/>
      <c r="I317" s="182"/>
      <c r="K317" s="139" t="str">
        <f t="shared" si="23"/>
        <v/>
      </c>
      <c r="L317" s="139" t="str">
        <f t="shared" si="24"/>
        <v/>
      </c>
    </row>
    <row r="318" spans="1:12">
      <c r="A318" s="137" t="str">
        <f>IF(E318="","",VLOOKUP('Opći dio'!$C$3,'Opći dio'!$L$6:$U$137,10,FALSE))</f>
        <v/>
      </c>
      <c r="B318" s="137" t="str">
        <f>IF(E318="","",VLOOKUP('Opći dio'!$C$3,'Opći dio'!$L$6:$U$137,9,FALSE))</f>
        <v/>
      </c>
      <c r="C318" s="184" t="str">
        <f t="shared" si="20"/>
        <v/>
      </c>
      <c r="D318" s="136" t="str">
        <f t="shared" si="21"/>
        <v/>
      </c>
      <c r="E318" s="148"/>
      <c r="F318" s="188" t="str">
        <f t="shared" si="22"/>
        <v/>
      </c>
      <c r="G318" s="182"/>
      <c r="H318" s="182"/>
      <c r="I318" s="182"/>
      <c r="K318" s="139" t="str">
        <f t="shared" si="23"/>
        <v/>
      </c>
      <c r="L318" s="139" t="str">
        <f t="shared" si="24"/>
        <v/>
      </c>
    </row>
    <row r="319" spans="1:12">
      <c r="A319" s="137" t="str">
        <f>IF(E319="","",VLOOKUP('Opći dio'!$C$3,'Opći dio'!$L$6:$U$137,10,FALSE))</f>
        <v/>
      </c>
      <c r="B319" s="137" t="str">
        <f>IF(E319="","",VLOOKUP('Opći dio'!$C$3,'Opći dio'!$L$6:$U$137,9,FALSE))</f>
        <v/>
      </c>
      <c r="C319" s="184" t="str">
        <f t="shared" si="20"/>
        <v/>
      </c>
      <c r="D319" s="136" t="str">
        <f t="shared" si="21"/>
        <v/>
      </c>
      <c r="E319" s="148"/>
      <c r="F319" s="188" t="str">
        <f t="shared" si="22"/>
        <v/>
      </c>
      <c r="G319" s="182"/>
      <c r="H319" s="182"/>
      <c r="I319" s="182"/>
      <c r="K319" s="139" t="str">
        <f t="shared" si="23"/>
        <v/>
      </c>
      <c r="L319" s="139" t="str">
        <f t="shared" si="24"/>
        <v/>
      </c>
    </row>
    <row r="320" spans="1:12">
      <c r="A320" s="137" t="str">
        <f>IF(E320="","",VLOOKUP('Opći dio'!$C$3,'Opći dio'!$L$6:$U$137,10,FALSE))</f>
        <v/>
      </c>
      <c r="B320" s="137" t="str">
        <f>IF(E320="","",VLOOKUP('Opći dio'!$C$3,'Opći dio'!$L$6:$U$137,9,FALSE))</f>
        <v/>
      </c>
      <c r="C320" s="184" t="str">
        <f t="shared" si="20"/>
        <v/>
      </c>
      <c r="D320" s="136" t="str">
        <f t="shared" si="21"/>
        <v/>
      </c>
      <c r="E320" s="148"/>
      <c r="F320" s="188" t="str">
        <f t="shared" si="22"/>
        <v/>
      </c>
      <c r="G320" s="182"/>
      <c r="H320" s="182"/>
      <c r="I320" s="182"/>
      <c r="K320" s="139" t="str">
        <f t="shared" si="23"/>
        <v/>
      </c>
      <c r="L320" s="139" t="str">
        <f t="shared" si="24"/>
        <v/>
      </c>
    </row>
    <row r="321" spans="1:12">
      <c r="A321" s="137" t="str">
        <f>IF(E321="","",VLOOKUP('Opći dio'!$C$3,'Opći dio'!$L$6:$U$137,10,FALSE))</f>
        <v/>
      </c>
      <c r="B321" s="137" t="str">
        <f>IF(E321="","",VLOOKUP('Opći dio'!$C$3,'Opći dio'!$L$6:$U$137,9,FALSE))</f>
        <v/>
      </c>
      <c r="C321" s="184" t="str">
        <f t="shared" si="20"/>
        <v/>
      </c>
      <c r="D321" s="136" t="str">
        <f t="shared" si="21"/>
        <v/>
      </c>
      <c r="E321" s="148"/>
      <c r="F321" s="188" t="str">
        <f t="shared" si="22"/>
        <v/>
      </c>
      <c r="G321" s="182"/>
      <c r="H321" s="182"/>
      <c r="I321" s="182"/>
      <c r="K321" s="139" t="str">
        <f t="shared" si="23"/>
        <v/>
      </c>
      <c r="L321" s="139" t="str">
        <f t="shared" si="24"/>
        <v/>
      </c>
    </row>
    <row r="322" spans="1:12">
      <c r="A322" s="137" t="str">
        <f>IF(E322="","",VLOOKUP('Opći dio'!$C$3,'Opći dio'!$L$6:$U$137,10,FALSE))</f>
        <v/>
      </c>
      <c r="B322" s="137" t="str">
        <f>IF(E322="","",VLOOKUP('Opći dio'!$C$3,'Opći dio'!$L$6:$U$137,9,FALSE))</f>
        <v/>
      </c>
      <c r="C322" s="184" t="str">
        <f t="shared" si="20"/>
        <v/>
      </c>
      <c r="D322" s="136" t="str">
        <f t="shared" si="21"/>
        <v/>
      </c>
      <c r="E322" s="148"/>
      <c r="F322" s="188" t="str">
        <f t="shared" si="22"/>
        <v/>
      </c>
      <c r="G322" s="182"/>
      <c r="H322" s="182"/>
      <c r="I322" s="182"/>
      <c r="K322" s="139" t="str">
        <f t="shared" si="23"/>
        <v/>
      </c>
      <c r="L322" s="139" t="str">
        <f t="shared" si="24"/>
        <v/>
      </c>
    </row>
    <row r="323" spans="1:12">
      <c r="A323" s="137" t="str">
        <f>IF(E323="","",VLOOKUP('Opći dio'!$C$3,'Opći dio'!$L$6:$U$137,10,FALSE))</f>
        <v/>
      </c>
      <c r="B323" s="137" t="str">
        <f>IF(E323="","",VLOOKUP('Opći dio'!$C$3,'Opći dio'!$L$6:$U$137,9,FALSE))</f>
        <v/>
      </c>
      <c r="C323" s="184" t="str">
        <f t="shared" si="20"/>
        <v/>
      </c>
      <c r="D323" s="136" t="str">
        <f t="shared" si="21"/>
        <v/>
      </c>
      <c r="E323" s="148"/>
      <c r="F323" s="188" t="str">
        <f t="shared" si="22"/>
        <v/>
      </c>
      <c r="G323" s="182"/>
      <c r="H323" s="182"/>
      <c r="I323" s="182"/>
      <c r="K323" s="139" t="str">
        <f t="shared" si="23"/>
        <v/>
      </c>
      <c r="L323" s="139" t="str">
        <f t="shared" si="24"/>
        <v/>
      </c>
    </row>
    <row r="324" spans="1:12">
      <c r="A324" s="137" t="str">
        <f>IF(E324="","",VLOOKUP('Opći dio'!$C$3,'Opći dio'!$L$6:$U$137,10,FALSE))</f>
        <v/>
      </c>
      <c r="B324" s="137" t="str">
        <f>IF(E324="","",VLOOKUP('Opći dio'!$C$3,'Opći dio'!$L$6:$U$137,9,FALSE))</f>
        <v/>
      </c>
      <c r="C324" s="184" t="str">
        <f t="shared" ref="C324:C387" si="25">IFERROR(VLOOKUP(E324,$Q$6:$T$105,3,FALSE),"")</f>
        <v/>
      </c>
      <c r="D324" s="136" t="str">
        <f t="shared" ref="D324:D387" si="26">IFERROR(VLOOKUP(E324,$Q$6:$T$105,4,FALSE),"")</f>
        <v/>
      </c>
      <c r="E324" s="148"/>
      <c r="F324" s="188" t="str">
        <f t="shared" ref="F324:F387" si="27">IFERROR(VLOOKUP(E324,$Q$6:$T$105,2,FALSE),"")</f>
        <v/>
      </c>
      <c r="G324" s="182"/>
      <c r="H324" s="182"/>
      <c r="I324" s="182"/>
      <c r="K324" s="139" t="str">
        <f t="shared" ref="K324:K387" si="28">LEFT(E324,3)</f>
        <v/>
      </c>
      <c r="L324" s="139" t="str">
        <f t="shared" ref="L324:L387" si="29">LEFT(E324,2)</f>
        <v/>
      </c>
    </row>
    <row r="325" spans="1:12">
      <c r="A325" s="137" t="str">
        <f>IF(E325="","",VLOOKUP('Opći dio'!$C$3,'Opći dio'!$L$6:$U$137,10,FALSE))</f>
        <v/>
      </c>
      <c r="B325" s="137" t="str">
        <f>IF(E325="","",VLOOKUP('Opći dio'!$C$3,'Opći dio'!$L$6:$U$137,9,FALSE))</f>
        <v/>
      </c>
      <c r="C325" s="184" t="str">
        <f t="shared" si="25"/>
        <v/>
      </c>
      <c r="D325" s="136" t="str">
        <f t="shared" si="26"/>
        <v/>
      </c>
      <c r="E325" s="148"/>
      <c r="F325" s="188" t="str">
        <f t="shared" si="27"/>
        <v/>
      </c>
      <c r="G325" s="182"/>
      <c r="H325" s="182"/>
      <c r="I325" s="182"/>
      <c r="K325" s="139" t="str">
        <f t="shared" si="28"/>
        <v/>
      </c>
      <c r="L325" s="139" t="str">
        <f t="shared" si="29"/>
        <v/>
      </c>
    </row>
    <row r="326" spans="1:12">
      <c r="A326" s="137" t="str">
        <f>IF(E326="","",VLOOKUP('Opći dio'!$C$3,'Opći dio'!$L$6:$U$137,10,FALSE))</f>
        <v/>
      </c>
      <c r="B326" s="137" t="str">
        <f>IF(E326="","",VLOOKUP('Opći dio'!$C$3,'Opći dio'!$L$6:$U$137,9,FALSE))</f>
        <v/>
      </c>
      <c r="C326" s="184" t="str">
        <f t="shared" si="25"/>
        <v/>
      </c>
      <c r="D326" s="136" t="str">
        <f t="shared" si="26"/>
        <v/>
      </c>
      <c r="E326" s="148"/>
      <c r="F326" s="188" t="str">
        <f t="shared" si="27"/>
        <v/>
      </c>
      <c r="G326" s="182"/>
      <c r="H326" s="182"/>
      <c r="I326" s="182"/>
      <c r="K326" s="139" t="str">
        <f t="shared" si="28"/>
        <v/>
      </c>
      <c r="L326" s="139" t="str">
        <f t="shared" si="29"/>
        <v/>
      </c>
    </row>
    <row r="327" spans="1:12">
      <c r="A327" s="137" t="str">
        <f>IF(E327="","",VLOOKUP('Opći dio'!$C$3,'Opći dio'!$L$6:$U$137,10,FALSE))</f>
        <v/>
      </c>
      <c r="B327" s="137" t="str">
        <f>IF(E327="","",VLOOKUP('Opći dio'!$C$3,'Opći dio'!$L$6:$U$137,9,FALSE))</f>
        <v/>
      </c>
      <c r="C327" s="184" t="str">
        <f t="shared" si="25"/>
        <v/>
      </c>
      <c r="D327" s="136" t="str">
        <f t="shared" si="26"/>
        <v/>
      </c>
      <c r="E327" s="148"/>
      <c r="F327" s="188" t="str">
        <f t="shared" si="27"/>
        <v/>
      </c>
      <c r="G327" s="182"/>
      <c r="H327" s="182"/>
      <c r="I327" s="182"/>
      <c r="K327" s="139" t="str">
        <f t="shared" si="28"/>
        <v/>
      </c>
      <c r="L327" s="139" t="str">
        <f t="shared" si="29"/>
        <v/>
      </c>
    </row>
    <row r="328" spans="1:12">
      <c r="A328" s="137" t="str">
        <f>IF(E328="","",VLOOKUP('Opći dio'!$C$3,'Opći dio'!$L$6:$U$137,10,FALSE))</f>
        <v/>
      </c>
      <c r="B328" s="137" t="str">
        <f>IF(E328="","",VLOOKUP('Opći dio'!$C$3,'Opći dio'!$L$6:$U$137,9,FALSE))</f>
        <v/>
      </c>
      <c r="C328" s="184" t="str">
        <f t="shared" si="25"/>
        <v/>
      </c>
      <c r="D328" s="136" t="str">
        <f t="shared" si="26"/>
        <v/>
      </c>
      <c r="E328" s="148"/>
      <c r="F328" s="188" t="str">
        <f t="shared" si="27"/>
        <v/>
      </c>
      <c r="G328" s="182"/>
      <c r="H328" s="182"/>
      <c r="I328" s="182"/>
      <c r="K328" s="139" t="str">
        <f t="shared" si="28"/>
        <v/>
      </c>
      <c r="L328" s="139" t="str">
        <f t="shared" si="29"/>
        <v/>
      </c>
    </row>
    <row r="329" spans="1:12">
      <c r="A329" s="137" t="str">
        <f>IF(E329="","",VLOOKUP('Opći dio'!$C$3,'Opći dio'!$L$6:$U$137,10,FALSE))</f>
        <v/>
      </c>
      <c r="B329" s="137" t="str">
        <f>IF(E329="","",VLOOKUP('Opći dio'!$C$3,'Opći dio'!$L$6:$U$137,9,FALSE))</f>
        <v/>
      </c>
      <c r="C329" s="184" t="str">
        <f t="shared" si="25"/>
        <v/>
      </c>
      <c r="D329" s="136" t="str">
        <f t="shared" si="26"/>
        <v/>
      </c>
      <c r="E329" s="148"/>
      <c r="F329" s="188" t="str">
        <f t="shared" si="27"/>
        <v/>
      </c>
      <c r="G329" s="182"/>
      <c r="H329" s="182"/>
      <c r="I329" s="182"/>
      <c r="K329" s="139" t="str">
        <f t="shared" si="28"/>
        <v/>
      </c>
      <c r="L329" s="139" t="str">
        <f t="shared" si="29"/>
        <v/>
      </c>
    </row>
    <row r="330" spans="1:12">
      <c r="A330" s="137" t="str">
        <f>IF(E330="","",VLOOKUP('Opći dio'!$C$3,'Opći dio'!$L$6:$U$137,10,FALSE))</f>
        <v/>
      </c>
      <c r="B330" s="137" t="str">
        <f>IF(E330="","",VLOOKUP('Opći dio'!$C$3,'Opći dio'!$L$6:$U$137,9,FALSE))</f>
        <v/>
      </c>
      <c r="C330" s="184" t="str">
        <f t="shared" si="25"/>
        <v/>
      </c>
      <c r="D330" s="136" t="str">
        <f t="shared" si="26"/>
        <v/>
      </c>
      <c r="E330" s="148"/>
      <c r="F330" s="188" t="str">
        <f t="shared" si="27"/>
        <v/>
      </c>
      <c r="G330" s="182"/>
      <c r="H330" s="182"/>
      <c r="I330" s="182"/>
      <c r="K330" s="139" t="str">
        <f t="shared" si="28"/>
        <v/>
      </c>
      <c r="L330" s="139" t="str">
        <f t="shared" si="29"/>
        <v/>
      </c>
    </row>
    <row r="331" spans="1:12">
      <c r="A331" s="137" t="str">
        <f>IF(E331="","",VLOOKUP('Opći dio'!$C$3,'Opći dio'!$L$6:$U$137,10,FALSE))</f>
        <v/>
      </c>
      <c r="B331" s="137" t="str">
        <f>IF(E331="","",VLOOKUP('Opći dio'!$C$3,'Opći dio'!$L$6:$U$137,9,FALSE))</f>
        <v/>
      </c>
      <c r="C331" s="184" t="str">
        <f t="shared" si="25"/>
        <v/>
      </c>
      <c r="D331" s="136" t="str">
        <f t="shared" si="26"/>
        <v/>
      </c>
      <c r="E331" s="148"/>
      <c r="F331" s="188" t="str">
        <f t="shared" si="27"/>
        <v/>
      </c>
      <c r="G331" s="182"/>
      <c r="H331" s="182"/>
      <c r="I331" s="182"/>
      <c r="K331" s="139" t="str">
        <f t="shared" si="28"/>
        <v/>
      </c>
      <c r="L331" s="139" t="str">
        <f t="shared" si="29"/>
        <v/>
      </c>
    </row>
    <row r="332" spans="1:12">
      <c r="A332" s="137" t="str">
        <f>IF(E332="","",VLOOKUP('Opći dio'!$C$3,'Opći dio'!$L$6:$U$137,10,FALSE))</f>
        <v/>
      </c>
      <c r="B332" s="137" t="str">
        <f>IF(E332="","",VLOOKUP('Opći dio'!$C$3,'Opći dio'!$L$6:$U$137,9,FALSE))</f>
        <v/>
      </c>
      <c r="C332" s="184" t="str">
        <f t="shared" si="25"/>
        <v/>
      </c>
      <c r="D332" s="136" t="str">
        <f t="shared" si="26"/>
        <v/>
      </c>
      <c r="E332" s="148"/>
      <c r="F332" s="188" t="str">
        <f t="shared" si="27"/>
        <v/>
      </c>
      <c r="G332" s="182"/>
      <c r="H332" s="182"/>
      <c r="I332" s="182"/>
      <c r="K332" s="139" t="str">
        <f t="shared" si="28"/>
        <v/>
      </c>
      <c r="L332" s="139" t="str">
        <f t="shared" si="29"/>
        <v/>
      </c>
    </row>
    <row r="333" spans="1:12">
      <c r="A333" s="137" t="str">
        <f>IF(E333="","",VLOOKUP('Opći dio'!$C$3,'Opći dio'!$L$6:$U$137,10,FALSE))</f>
        <v/>
      </c>
      <c r="B333" s="137" t="str">
        <f>IF(E333="","",VLOOKUP('Opći dio'!$C$3,'Opći dio'!$L$6:$U$137,9,FALSE))</f>
        <v/>
      </c>
      <c r="C333" s="184" t="str">
        <f t="shared" si="25"/>
        <v/>
      </c>
      <c r="D333" s="136" t="str">
        <f t="shared" si="26"/>
        <v/>
      </c>
      <c r="E333" s="148"/>
      <c r="F333" s="188" t="str">
        <f t="shared" si="27"/>
        <v/>
      </c>
      <c r="G333" s="182"/>
      <c r="H333" s="182"/>
      <c r="I333" s="182"/>
      <c r="K333" s="139" t="str">
        <f t="shared" si="28"/>
        <v/>
      </c>
      <c r="L333" s="139" t="str">
        <f t="shared" si="29"/>
        <v/>
      </c>
    </row>
    <row r="334" spans="1:12">
      <c r="A334" s="137" t="str">
        <f>IF(E334="","",VLOOKUP('Opći dio'!$C$3,'Opći dio'!$L$6:$U$137,10,FALSE))</f>
        <v/>
      </c>
      <c r="B334" s="137" t="str">
        <f>IF(E334="","",VLOOKUP('Opći dio'!$C$3,'Opći dio'!$L$6:$U$137,9,FALSE))</f>
        <v/>
      </c>
      <c r="C334" s="184" t="str">
        <f t="shared" si="25"/>
        <v/>
      </c>
      <c r="D334" s="136" t="str">
        <f t="shared" si="26"/>
        <v/>
      </c>
      <c r="E334" s="148"/>
      <c r="F334" s="188" t="str">
        <f t="shared" si="27"/>
        <v/>
      </c>
      <c r="G334" s="182"/>
      <c r="H334" s="182"/>
      <c r="I334" s="182"/>
      <c r="K334" s="139" t="str">
        <f t="shared" si="28"/>
        <v/>
      </c>
      <c r="L334" s="139" t="str">
        <f t="shared" si="29"/>
        <v/>
      </c>
    </row>
    <row r="335" spans="1:12">
      <c r="A335" s="137" t="str">
        <f>IF(E335="","",VLOOKUP('Opći dio'!$C$3,'Opći dio'!$L$6:$U$137,10,FALSE))</f>
        <v/>
      </c>
      <c r="B335" s="137" t="str">
        <f>IF(E335="","",VLOOKUP('Opći dio'!$C$3,'Opći dio'!$L$6:$U$137,9,FALSE))</f>
        <v/>
      </c>
      <c r="C335" s="184" t="str">
        <f t="shared" si="25"/>
        <v/>
      </c>
      <c r="D335" s="136" t="str">
        <f t="shared" si="26"/>
        <v/>
      </c>
      <c r="E335" s="148"/>
      <c r="F335" s="188" t="str">
        <f t="shared" si="27"/>
        <v/>
      </c>
      <c r="G335" s="182"/>
      <c r="H335" s="182"/>
      <c r="I335" s="182"/>
      <c r="K335" s="139" t="str">
        <f t="shared" si="28"/>
        <v/>
      </c>
      <c r="L335" s="139" t="str">
        <f t="shared" si="29"/>
        <v/>
      </c>
    </row>
    <row r="336" spans="1:12">
      <c r="A336" s="137" t="str">
        <f>IF(E336="","",VLOOKUP('Opći dio'!$C$3,'Opći dio'!$L$6:$U$137,10,FALSE))</f>
        <v/>
      </c>
      <c r="B336" s="137" t="str">
        <f>IF(E336="","",VLOOKUP('Opći dio'!$C$3,'Opći dio'!$L$6:$U$137,9,FALSE))</f>
        <v/>
      </c>
      <c r="C336" s="184" t="str">
        <f t="shared" si="25"/>
        <v/>
      </c>
      <c r="D336" s="136" t="str">
        <f t="shared" si="26"/>
        <v/>
      </c>
      <c r="E336" s="148"/>
      <c r="F336" s="188" t="str">
        <f t="shared" si="27"/>
        <v/>
      </c>
      <c r="G336" s="182"/>
      <c r="H336" s="182"/>
      <c r="I336" s="182"/>
      <c r="K336" s="139" t="str">
        <f t="shared" si="28"/>
        <v/>
      </c>
      <c r="L336" s="139" t="str">
        <f t="shared" si="29"/>
        <v/>
      </c>
    </row>
    <row r="337" spans="1:12">
      <c r="A337" s="137" t="str">
        <f>IF(E337="","",VLOOKUP('Opći dio'!$C$3,'Opći dio'!$L$6:$U$137,10,FALSE))</f>
        <v/>
      </c>
      <c r="B337" s="137" t="str">
        <f>IF(E337="","",VLOOKUP('Opći dio'!$C$3,'Opći dio'!$L$6:$U$137,9,FALSE))</f>
        <v/>
      </c>
      <c r="C337" s="184" t="str">
        <f t="shared" si="25"/>
        <v/>
      </c>
      <c r="D337" s="136" t="str">
        <f t="shared" si="26"/>
        <v/>
      </c>
      <c r="E337" s="148"/>
      <c r="F337" s="188" t="str">
        <f t="shared" si="27"/>
        <v/>
      </c>
      <c r="G337" s="182"/>
      <c r="H337" s="182"/>
      <c r="I337" s="182"/>
      <c r="K337" s="139" t="str">
        <f t="shared" si="28"/>
        <v/>
      </c>
      <c r="L337" s="139" t="str">
        <f t="shared" si="29"/>
        <v/>
      </c>
    </row>
    <row r="338" spans="1:12">
      <c r="A338" s="137" t="str">
        <f>IF(E338="","",VLOOKUP('Opći dio'!$C$3,'Opći dio'!$L$6:$U$137,10,FALSE))</f>
        <v/>
      </c>
      <c r="B338" s="137" t="str">
        <f>IF(E338="","",VLOOKUP('Opći dio'!$C$3,'Opći dio'!$L$6:$U$137,9,FALSE))</f>
        <v/>
      </c>
      <c r="C338" s="184" t="str">
        <f t="shared" si="25"/>
        <v/>
      </c>
      <c r="D338" s="136" t="str">
        <f t="shared" si="26"/>
        <v/>
      </c>
      <c r="E338" s="148"/>
      <c r="F338" s="188" t="str">
        <f t="shared" si="27"/>
        <v/>
      </c>
      <c r="G338" s="182"/>
      <c r="H338" s="182"/>
      <c r="I338" s="182"/>
      <c r="K338" s="139" t="str">
        <f t="shared" si="28"/>
        <v/>
      </c>
      <c r="L338" s="139" t="str">
        <f t="shared" si="29"/>
        <v/>
      </c>
    </row>
    <row r="339" spans="1:12">
      <c r="A339" s="137" t="str">
        <f>IF(E339="","",VLOOKUP('Opći dio'!$C$3,'Opći dio'!$L$6:$U$137,10,FALSE))</f>
        <v/>
      </c>
      <c r="B339" s="137" t="str">
        <f>IF(E339="","",VLOOKUP('Opći dio'!$C$3,'Opći dio'!$L$6:$U$137,9,FALSE))</f>
        <v/>
      </c>
      <c r="C339" s="184" t="str">
        <f t="shared" si="25"/>
        <v/>
      </c>
      <c r="D339" s="136" t="str">
        <f t="shared" si="26"/>
        <v/>
      </c>
      <c r="E339" s="148"/>
      <c r="F339" s="188" t="str">
        <f t="shared" si="27"/>
        <v/>
      </c>
      <c r="G339" s="182"/>
      <c r="H339" s="182"/>
      <c r="I339" s="182"/>
      <c r="K339" s="139" t="str">
        <f t="shared" si="28"/>
        <v/>
      </c>
      <c r="L339" s="139" t="str">
        <f t="shared" si="29"/>
        <v/>
      </c>
    </row>
    <row r="340" spans="1:12">
      <c r="A340" s="137" t="str">
        <f>IF(E340="","",VLOOKUP('Opći dio'!$C$3,'Opći dio'!$L$6:$U$137,10,FALSE))</f>
        <v/>
      </c>
      <c r="B340" s="137" t="str">
        <f>IF(E340="","",VLOOKUP('Opći dio'!$C$3,'Opći dio'!$L$6:$U$137,9,FALSE))</f>
        <v/>
      </c>
      <c r="C340" s="184" t="str">
        <f t="shared" si="25"/>
        <v/>
      </c>
      <c r="D340" s="136" t="str">
        <f t="shared" si="26"/>
        <v/>
      </c>
      <c r="E340" s="148"/>
      <c r="F340" s="188" t="str">
        <f t="shared" si="27"/>
        <v/>
      </c>
      <c r="G340" s="182"/>
      <c r="H340" s="182"/>
      <c r="I340" s="182"/>
      <c r="K340" s="139" t="str">
        <f t="shared" si="28"/>
        <v/>
      </c>
      <c r="L340" s="139" t="str">
        <f t="shared" si="29"/>
        <v/>
      </c>
    </row>
    <row r="341" spans="1:12">
      <c r="A341" s="137" t="str">
        <f>IF(E341="","",VLOOKUP('Opći dio'!$C$3,'Opći dio'!$L$6:$U$137,10,FALSE))</f>
        <v/>
      </c>
      <c r="B341" s="137" t="str">
        <f>IF(E341="","",VLOOKUP('Opći dio'!$C$3,'Opći dio'!$L$6:$U$137,9,FALSE))</f>
        <v/>
      </c>
      <c r="C341" s="184" t="str">
        <f t="shared" si="25"/>
        <v/>
      </c>
      <c r="D341" s="136" t="str">
        <f t="shared" si="26"/>
        <v/>
      </c>
      <c r="E341" s="148"/>
      <c r="F341" s="188" t="str">
        <f t="shared" si="27"/>
        <v/>
      </c>
      <c r="G341" s="182"/>
      <c r="H341" s="182"/>
      <c r="I341" s="182"/>
      <c r="K341" s="139" t="str">
        <f t="shared" si="28"/>
        <v/>
      </c>
      <c r="L341" s="139" t="str">
        <f t="shared" si="29"/>
        <v/>
      </c>
    </row>
    <row r="342" spans="1:12">
      <c r="A342" s="137" t="str">
        <f>IF(E342="","",VLOOKUP('Opći dio'!$C$3,'Opći dio'!$L$6:$U$137,10,FALSE))</f>
        <v/>
      </c>
      <c r="B342" s="137" t="str">
        <f>IF(E342="","",VLOOKUP('Opći dio'!$C$3,'Opći dio'!$L$6:$U$137,9,FALSE))</f>
        <v/>
      </c>
      <c r="C342" s="184" t="str">
        <f t="shared" si="25"/>
        <v/>
      </c>
      <c r="D342" s="136" t="str">
        <f t="shared" si="26"/>
        <v/>
      </c>
      <c r="E342" s="148"/>
      <c r="F342" s="188" t="str">
        <f t="shared" si="27"/>
        <v/>
      </c>
      <c r="G342" s="182"/>
      <c r="H342" s="182"/>
      <c r="I342" s="182"/>
      <c r="K342" s="139" t="str">
        <f t="shared" si="28"/>
        <v/>
      </c>
      <c r="L342" s="139" t="str">
        <f t="shared" si="29"/>
        <v/>
      </c>
    </row>
    <row r="343" spans="1:12">
      <c r="A343" s="137" t="str">
        <f>IF(E343="","",VLOOKUP('Opći dio'!$C$3,'Opći dio'!$L$6:$U$137,10,FALSE))</f>
        <v/>
      </c>
      <c r="B343" s="137" t="str">
        <f>IF(E343="","",VLOOKUP('Opći dio'!$C$3,'Opći dio'!$L$6:$U$137,9,FALSE))</f>
        <v/>
      </c>
      <c r="C343" s="184" t="str">
        <f t="shared" si="25"/>
        <v/>
      </c>
      <c r="D343" s="136" t="str">
        <f t="shared" si="26"/>
        <v/>
      </c>
      <c r="E343" s="148"/>
      <c r="F343" s="188" t="str">
        <f t="shared" si="27"/>
        <v/>
      </c>
      <c r="G343" s="182"/>
      <c r="H343" s="182"/>
      <c r="I343" s="182"/>
      <c r="K343" s="139" t="str">
        <f t="shared" si="28"/>
        <v/>
      </c>
      <c r="L343" s="139" t="str">
        <f t="shared" si="29"/>
        <v/>
      </c>
    </row>
    <row r="344" spans="1:12">
      <c r="A344" s="137" t="str">
        <f>IF(E344="","",VLOOKUP('Opći dio'!$C$3,'Opći dio'!$L$6:$U$137,10,FALSE))</f>
        <v/>
      </c>
      <c r="B344" s="137" t="str">
        <f>IF(E344="","",VLOOKUP('Opći dio'!$C$3,'Opći dio'!$L$6:$U$137,9,FALSE))</f>
        <v/>
      </c>
      <c r="C344" s="184" t="str">
        <f t="shared" si="25"/>
        <v/>
      </c>
      <c r="D344" s="136" t="str">
        <f t="shared" si="26"/>
        <v/>
      </c>
      <c r="E344" s="148"/>
      <c r="F344" s="188" t="str">
        <f t="shared" si="27"/>
        <v/>
      </c>
      <c r="G344" s="182"/>
      <c r="H344" s="182"/>
      <c r="I344" s="182"/>
      <c r="K344" s="139" t="str">
        <f t="shared" si="28"/>
        <v/>
      </c>
      <c r="L344" s="139" t="str">
        <f t="shared" si="29"/>
        <v/>
      </c>
    </row>
    <row r="345" spans="1:12">
      <c r="A345" s="137" t="str">
        <f>IF(E345="","",VLOOKUP('Opći dio'!$C$3,'Opći dio'!$L$6:$U$137,10,FALSE))</f>
        <v/>
      </c>
      <c r="B345" s="137" t="str">
        <f>IF(E345="","",VLOOKUP('Opći dio'!$C$3,'Opći dio'!$L$6:$U$137,9,FALSE))</f>
        <v/>
      </c>
      <c r="C345" s="184" t="str">
        <f t="shared" si="25"/>
        <v/>
      </c>
      <c r="D345" s="136" t="str">
        <f t="shared" si="26"/>
        <v/>
      </c>
      <c r="E345" s="148"/>
      <c r="F345" s="188" t="str">
        <f t="shared" si="27"/>
        <v/>
      </c>
      <c r="G345" s="182"/>
      <c r="H345" s="182"/>
      <c r="I345" s="182"/>
      <c r="K345" s="139" t="str">
        <f t="shared" si="28"/>
        <v/>
      </c>
      <c r="L345" s="139" t="str">
        <f t="shared" si="29"/>
        <v/>
      </c>
    </row>
    <row r="346" spans="1:12">
      <c r="A346" s="137" t="str">
        <f>IF(E346="","",VLOOKUP('Opći dio'!$C$3,'Opći dio'!$L$6:$U$137,10,FALSE))</f>
        <v/>
      </c>
      <c r="B346" s="137" t="str">
        <f>IF(E346="","",VLOOKUP('Opći dio'!$C$3,'Opći dio'!$L$6:$U$137,9,FALSE))</f>
        <v/>
      </c>
      <c r="C346" s="184" t="str">
        <f t="shared" si="25"/>
        <v/>
      </c>
      <c r="D346" s="136" t="str">
        <f t="shared" si="26"/>
        <v/>
      </c>
      <c r="E346" s="148"/>
      <c r="F346" s="188" t="str">
        <f t="shared" si="27"/>
        <v/>
      </c>
      <c r="G346" s="182"/>
      <c r="H346" s="182"/>
      <c r="I346" s="182"/>
      <c r="K346" s="139" t="str">
        <f t="shared" si="28"/>
        <v/>
      </c>
      <c r="L346" s="139" t="str">
        <f t="shared" si="29"/>
        <v/>
      </c>
    </row>
    <row r="347" spans="1:12">
      <c r="A347" s="137" t="str">
        <f>IF(E347="","",VLOOKUP('Opći dio'!$C$3,'Opći dio'!$L$6:$U$137,10,FALSE))</f>
        <v/>
      </c>
      <c r="B347" s="137" t="str">
        <f>IF(E347="","",VLOOKUP('Opći dio'!$C$3,'Opći dio'!$L$6:$U$137,9,FALSE))</f>
        <v/>
      </c>
      <c r="C347" s="184" t="str">
        <f t="shared" si="25"/>
        <v/>
      </c>
      <c r="D347" s="136" t="str">
        <f t="shared" si="26"/>
        <v/>
      </c>
      <c r="E347" s="148"/>
      <c r="F347" s="188" t="str">
        <f t="shared" si="27"/>
        <v/>
      </c>
      <c r="G347" s="182"/>
      <c r="H347" s="182"/>
      <c r="I347" s="182"/>
      <c r="K347" s="139" t="str">
        <f t="shared" si="28"/>
        <v/>
      </c>
      <c r="L347" s="139" t="str">
        <f t="shared" si="29"/>
        <v/>
      </c>
    </row>
    <row r="348" spans="1:12">
      <c r="A348" s="137" t="str">
        <f>IF(E348="","",VLOOKUP('Opći dio'!$C$3,'Opći dio'!$L$6:$U$137,10,FALSE))</f>
        <v/>
      </c>
      <c r="B348" s="137" t="str">
        <f>IF(E348="","",VLOOKUP('Opći dio'!$C$3,'Opći dio'!$L$6:$U$137,9,FALSE))</f>
        <v/>
      </c>
      <c r="C348" s="184" t="str">
        <f t="shared" si="25"/>
        <v/>
      </c>
      <c r="D348" s="136" t="str">
        <f t="shared" si="26"/>
        <v/>
      </c>
      <c r="E348" s="148"/>
      <c r="F348" s="188" t="str">
        <f t="shared" si="27"/>
        <v/>
      </c>
      <c r="G348" s="182"/>
      <c r="H348" s="182"/>
      <c r="I348" s="182"/>
      <c r="K348" s="139" t="str">
        <f t="shared" si="28"/>
        <v/>
      </c>
      <c r="L348" s="139" t="str">
        <f t="shared" si="29"/>
        <v/>
      </c>
    </row>
    <row r="349" spans="1:12">
      <c r="A349" s="137" t="str">
        <f>IF(E349="","",VLOOKUP('Opći dio'!$C$3,'Opći dio'!$L$6:$U$137,10,FALSE))</f>
        <v/>
      </c>
      <c r="B349" s="137" t="str">
        <f>IF(E349="","",VLOOKUP('Opći dio'!$C$3,'Opći dio'!$L$6:$U$137,9,FALSE))</f>
        <v/>
      </c>
      <c r="C349" s="184" t="str">
        <f t="shared" si="25"/>
        <v/>
      </c>
      <c r="D349" s="136" t="str">
        <f t="shared" si="26"/>
        <v/>
      </c>
      <c r="E349" s="148"/>
      <c r="F349" s="188" t="str">
        <f t="shared" si="27"/>
        <v/>
      </c>
      <c r="G349" s="182"/>
      <c r="H349" s="182"/>
      <c r="I349" s="182"/>
      <c r="K349" s="139" t="str">
        <f t="shared" si="28"/>
        <v/>
      </c>
      <c r="L349" s="139" t="str">
        <f t="shared" si="29"/>
        <v/>
      </c>
    </row>
    <row r="350" spans="1:12">
      <c r="A350" s="137" t="str">
        <f>IF(E350="","",VLOOKUP('Opći dio'!$C$3,'Opći dio'!$L$6:$U$137,10,FALSE))</f>
        <v/>
      </c>
      <c r="B350" s="137" t="str">
        <f>IF(E350="","",VLOOKUP('Opći dio'!$C$3,'Opći dio'!$L$6:$U$137,9,FALSE))</f>
        <v/>
      </c>
      <c r="C350" s="184" t="str">
        <f t="shared" si="25"/>
        <v/>
      </c>
      <c r="D350" s="136" t="str">
        <f t="shared" si="26"/>
        <v/>
      </c>
      <c r="E350" s="148"/>
      <c r="F350" s="188" t="str">
        <f t="shared" si="27"/>
        <v/>
      </c>
      <c r="G350" s="182"/>
      <c r="H350" s="182"/>
      <c r="I350" s="182"/>
      <c r="K350" s="139" t="str">
        <f t="shared" si="28"/>
        <v/>
      </c>
      <c r="L350" s="139" t="str">
        <f t="shared" si="29"/>
        <v/>
      </c>
    </row>
    <row r="351" spans="1:12">
      <c r="A351" s="137" t="str">
        <f>IF(E351="","",VLOOKUP('Opći dio'!$C$3,'Opći dio'!$L$6:$U$137,10,FALSE))</f>
        <v/>
      </c>
      <c r="B351" s="137" t="str">
        <f>IF(E351="","",VLOOKUP('Opći dio'!$C$3,'Opći dio'!$L$6:$U$137,9,FALSE))</f>
        <v/>
      </c>
      <c r="C351" s="184" t="str">
        <f t="shared" si="25"/>
        <v/>
      </c>
      <c r="D351" s="136" t="str">
        <f t="shared" si="26"/>
        <v/>
      </c>
      <c r="E351" s="148"/>
      <c r="F351" s="188" t="str">
        <f t="shared" si="27"/>
        <v/>
      </c>
      <c r="G351" s="182"/>
      <c r="H351" s="182"/>
      <c r="I351" s="182"/>
      <c r="K351" s="139" t="str">
        <f t="shared" si="28"/>
        <v/>
      </c>
      <c r="L351" s="139" t="str">
        <f t="shared" si="29"/>
        <v/>
      </c>
    </row>
    <row r="352" spans="1:12">
      <c r="A352" s="137" t="str">
        <f>IF(E352="","",VLOOKUP('Opći dio'!$C$3,'Opći dio'!$L$6:$U$137,10,FALSE))</f>
        <v/>
      </c>
      <c r="B352" s="137" t="str">
        <f>IF(E352="","",VLOOKUP('Opći dio'!$C$3,'Opći dio'!$L$6:$U$137,9,FALSE))</f>
        <v/>
      </c>
      <c r="C352" s="184" t="str">
        <f t="shared" si="25"/>
        <v/>
      </c>
      <c r="D352" s="136" t="str">
        <f t="shared" si="26"/>
        <v/>
      </c>
      <c r="E352" s="148"/>
      <c r="F352" s="188" t="str">
        <f t="shared" si="27"/>
        <v/>
      </c>
      <c r="G352" s="182"/>
      <c r="H352" s="182"/>
      <c r="I352" s="182"/>
      <c r="K352" s="139" t="str">
        <f t="shared" si="28"/>
        <v/>
      </c>
      <c r="L352" s="139" t="str">
        <f t="shared" si="29"/>
        <v/>
      </c>
    </row>
    <row r="353" spans="1:12">
      <c r="A353" s="137" t="str">
        <f>IF(E353="","",VLOOKUP('Opći dio'!$C$3,'Opći dio'!$L$6:$U$137,10,FALSE))</f>
        <v/>
      </c>
      <c r="B353" s="137" t="str">
        <f>IF(E353="","",VLOOKUP('Opći dio'!$C$3,'Opći dio'!$L$6:$U$137,9,FALSE))</f>
        <v/>
      </c>
      <c r="C353" s="184" t="str">
        <f t="shared" si="25"/>
        <v/>
      </c>
      <c r="D353" s="136" t="str">
        <f t="shared" si="26"/>
        <v/>
      </c>
      <c r="E353" s="148"/>
      <c r="F353" s="188" t="str">
        <f t="shared" si="27"/>
        <v/>
      </c>
      <c r="G353" s="182"/>
      <c r="H353" s="182"/>
      <c r="I353" s="182"/>
      <c r="K353" s="139" t="str">
        <f t="shared" si="28"/>
        <v/>
      </c>
      <c r="L353" s="139" t="str">
        <f t="shared" si="29"/>
        <v/>
      </c>
    </row>
    <row r="354" spans="1:12">
      <c r="A354" s="137" t="str">
        <f>IF(E354="","",VLOOKUP('Opći dio'!$C$3,'Opći dio'!$L$6:$U$137,10,FALSE))</f>
        <v/>
      </c>
      <c r="B354" s="137" t="str">
        <f>IF(E354="","",VLOOKUP('Opći dio'!$C$3,'Opći dio'!$L$6:$U$137,9,FALSE))</f>
        <v/>
      </c>
      <c r="C354" s="184" t="str">
        <f t="shared" si="25"/>
        <v/>
      </c>
      <c r="D354" s="136" t="str">
        <f t="shared" si="26"/>
        <v/>
      </c>
      <c r="E354" s="148"/>
      <c r="F354" s="188" t="str">
        <f t="shared" si="27"/>
        <v/>
      </c>
      <c r="G354" s="182"/>
      <c r="H354" s="182"/>
      <c r="I354" s="182"/>
      <c r="K354" s="139" t="str">
        <f t="shared" si="28"/>
        <v/>
      </c>
      <c r="L354" s="139" t="str">
        <f t="shared" si="29"/>
        <v/>
      </c>
    </row>
    <row r="355" spans="1:12">
      <c r="A355" s="137" t="str">
        <f>IF(E355="","",VLOOKUP('Opći dio'!$C$3,'Opći dio'!$L$6:$U$137,10,FALSE))</f>
        <v/>
      </c>
      <c r="B355" s="137" t="str">
        <f>IF(E355="","",VLOOKUP('Opći dio'!$C$3,'Opći dio'!$L$6:$U$137,9,FALSE))</f>
        <v/>
      </c>
      <c r="C355" s="184" t="str">
        <f t="shared" si="25"/>
        <v/>
      </c>
      <c r="D355" s="136" t="str">
        <f t="shared" si="26"/>
        <v/>
      </c>
      <c r="E355" s="148"/>
      <c r="F355" s="188" t="str">
        <f t="shared" si="27"/>
        <v/>
      </c>
      <c r="G355" s="182"/>
      <c r="H355" s="182"/>
      <c r="I355" s="182"/>
      <c r="K355" s="139" t="str">
        <f t="shared" si="28"/>
        <v/>
      </c>
      <c r="L355" s="139" t="str">
        <f t="shared" si="29"/>
        <v/>
      </c>
    </row>
    <row r="356" spans="1:12">
      <c r="A356" s="137" t="str">
        <f>IF(E356="","",VLOOKUP('Opći dio'!$C$3,'Opći dio'!$L$6:$U$137,10,FALSE))</f>
        <v/>
      </c>
      <c r="B356" s="137" t="str">
        <f>IF(E356="","",VLOOKUP('Opći dio'!$C$3,'Opći dio'!$L$6:$U$137,9,FALSE))</f>
        <v/>
      </c>
      <c r="C356" s="184" t="str">
        <f t="shared" si="25"/>
        <v/>
      </c>
      <c r="D356" s="136" t="str">
        <f t="shared" si="26"/>
        <v/>
      </c>
      <c r="E356" s="148"/>
      <c r="F356" s="188" t="str">
        <f t="shared" si="27"/>
        <v/>
      </c>
      <c r="G356" s="182"/>
      <c r="H356" s="182"/>
      <c r="I356" s="182"/>
      <c r="K356" s="139" t="str">
        <f t="shared" si="28"/>
        <v/>
      </c>
      <c r="L356" s="139" t="str">
        <f t="shared" si="29"/>
        <v/>
      </c>
    </row>
    <row r="357" spans="1:12">
      <c r="A357" s="137" t="str">
        <f>IF(E357="","",VLOOKUP('Opći dio'!$C$3,'Opći dio'!$L$6:$U$137,10,FALSE))</f>
        <v/>
      </c>
      <c r="B357" s="137" t="str">
        <f>IF(E357="","",VLOOKUP('Opći dio'!$C$3,'Opći dio'!$L$6:$U$137,9,FALSE))</f>
        <v/>
      </c>
      <c r="C357" s="184" t="str">
        <f t="shared" si="25"/>
        <v/>
      </c>
      <c r="D357" s="136" t="str">
        <f t="shared" si="26"/>
        <v/>
      </c>
      <c r="E357" s="148"/>
      <c r="F357" s="188" t="str">
        <f t="shared" si="27"/>
        <v/>
      </c>
      <c r="G357" s="182"/>
      <c r="H357" s="182"/>
      <c r="I357" s="182"/>
      <c r="K357" s="139" t="str">
        <f t="shared" si="28"/>
        <v/>
      </c>
      <c r="L357" s="139" t="str">
        <f t="shared" si="29"/>
        <v/>
      </c>
    </row>
    <row r="358" spans="1:12">
      <c r="A358" s="137" t="str">
        <f>IF(E358="","",VLOOKUP('Opći dio'!$C$3,'Opći dio'!$L$6:$U$137,10,FALSE))</f>
        <v/>
      </c>
      <c r="B358" s="137" t="str">
        <f>IF(E358="","",VLOOKUP('Opći dio'!$C$3,'Opći dio'!$L$6:$U$137,9,FALSE))</f>
        <v/>
      </c>
      <c r="C358" s="184" t="str">
        <f t="shared" si="25"/>
        <v/>
      </c>
      <c r="D358" s="136" t="str">
        <f t="shared" si="26"/>
        <v/>
      </c>
      <c r="E358" s="148"/>
      <c r="F358" s="188" t="str">
        <f t="shared" si="27"/>
        <v/>
      </c>
      <c r="G358" s="182"/>
      <c r="H358" s="182"/>
      <c r="I358" s="182"/>
      <c r="K358" s="139" t="str">
        <f t="shared" si="28"/>
        <v/>
      </c>
      <c r="L358" s="139" t="str">
        <f t="shared" si="29"/>
        <v/>
      </c>
    </row>
    <row r="359" spans="1:12">
      <c r="A359" s="137" t="str">
        <f>IF(E359="","",VLOOKUP('Opći dio'!$C$3,'Opći dio'!$L$6:$U$137,10,FALSE))</f>
        <v/>
      </c>
      <c r="B359" s="137" t="str">
        <f>IF(E359="","",VLOOKUP('Opći dio'!$C$3,'Opći dio'!$L$6:$U$137,9,FALSE))</f>
        <v/>
      </c>
      <c r="C359" s="184" t="str">
        <f t="shared" si="25"/>
        <v/>
      </c>
      <c r="D359" s="136" t="str">
        <f t="shared" si="26"/>
        <v/>
      </c>
      <c r="E359" s="148"/>
      <c r="F359" s="188" t="str">
        <f t="shared" si="27"/>
        <v/>
      </c>
      <c r="G359" s="182"/>
      <c r="H359" s="182"/>
      <c r="I359" s="182"/>
      <c r="K359" s="139" t="str">
        <f t="shared" si="28"/>
        <v/>
      </c>
      <c r="L359" s="139" t="str">
        <f t="shared" si="29"/>
        <v/>
      </c>
    </row>
    <row r="360" spans="1:12">
      <c r="A360" s="137" t="str">
        <f>IF(E360="","",VLOOKUP('Opći dio'!$C$3,'Opći dio'!$L$6:$U$137,10,FALSE))</f>
        <v/>
      </c>
      <c r="B360" s="137" t="str">
        <f>IF(E360="","",VLOOKUP('Opći dio'!$C$3,'Opći dio'!$L$6:$U$137,9,FALSE))</f>
        <v/>
      </c>
      <c r="C360" s="184" t="str">
        <f t="shared" si="25"/>
        <v/>
      </c>
      <c r="D360" s="136" t="str">
        <f t="shared" si="26"/>
        <v/>
      </c>
      <c r="E360" s="148"/>
      <c r="F360" s="188" t="str">
        <f t="shared" si="27"/>
        <v/>
      </c>
      <c r="G360" s="182"/>
      <c r="H360" s="182"/>
      <c r="I360" s="182"/>
      <c r="K360" s="139" t="str">
        <f t="shared" si="28"/>
        <v/>
      </c>
      <c r="L360" s="139" t="str">
        <f t="shared" si="29"/>
        <v/>
      </c>
    </row>
    <row r="361" spans="1:12">
      <c r="A361" s="137" t="str">
        <f>IF(E361="","",VLOOKUP('Opći dio'!$C$3,'Opći dio'!$L$6:$U$137,10,FALSE))</f>
        <v/>
      </c>
      <c r="B361" s="137" t="str">
        <f>IF(E361="","",VLOOKUP('Opći dio'!$C$3,'Opći dio'!$L$6:$U$137,9,FALSE))</f>
        <v/>
      </c>
      <c r="C361" s="184" t="str">
        <f t="shared" si="25"/>
        <v/>
      </c>
      <c r="D361" s="136" t="str">
        <f t="shared" si="26"/>
        <v/>
      </c>
      <c r="E361" s="148"/>
      <c r="F361" s="188" t="str">
        <f t="shared" si="27"/>
        <v/>
      </c>
      <c r="G361" s="182"/>
      <c r="H361" s="182"/>
      <c r="I361" s="182"/>
      <c r="K361" s="139" t="str">
        <f t="shared" si="28"/>
        <v/>
      </c>
      <c r="L361" s="139" t="str">
        <f t="shared" si="29"/>
        <v/>
      </c>
    </row>
    <row r="362" spans="1:12">
      <c r="A362" s="137" t="str">
        <f>IF(E362="","",VLOOKUP('Opći dio'!$C$3,'Opći dio'!$L$6:$U$137,10,FALSE))</f>
        <v/>
      </c>
      <c r="B362" s="137" t="str">
        <f>IF(E362="","",VLOOKUP('Opći dio'!$C$3,'Opći dio'!$L$6:$U$137,9,FALSE))</f>
        <v/>
      </c>
      <c r="C362" s="184" t="str">
        <f t="shared" si="25"/>
        <v/>
      </c>
      <c r="D362" s="136" t="str">
        <f t="shared" si="26"/>
        <v/>
      </c>
      <c r="E362" s="148"/>
      <c r="F362" s="188" t="str">
        <f t="shared" si="27"/>
        <v/>
      </c>
      <c r="G362" s="182"/>
      <c r="H362" s="182"/>
      <c r="I362" s="182"/>
      <c r="K362" s="139" t="str">
        <f t="shared" si="28"/>
        <v/>
      </c>
      <c r="L362" s="139" t="str">
        <f t="shared" si="29"/>
        <v/>
      </c>
    </row>
    <row r="363" spans="1:12">
      <c r="A363" s="137" t="str">
        <f>IF(E363="","",VLOOKUP('Opći dio'!$C$3,'Opći dio'!$L$6:$U$137,10,FALSE))</f>
        <v/>
      </c>
      <c r="B363" s="137" t="str">
        <f>IF(E363="","",VLOOKUP('Opći dio'!$C$3,'Opći dio'!$L$6:$U$137,9,FALSE))</f>
        <v/>
      </c>
      <c r="C363" s="184" t="str">
        <f t="shared" si="25"/>
        <v/>
      </c>
      <c r="D363" s="136" t="str">
        <f t="shared" si="26"/>
        <v/>
      </c>
      <c r="E363" s="148"/>
      <c r="F363" s="188" t="str">
        <f t="shared" si="27"/>
        <v/>
      </c>
      <c r="G363" s="182"/>
      <c r="H363" s="182"/>
      <c r="I363" s="182"/>
      <c r="K363" s="139" t="str">
        <f t="shared" si="28"/>
        <v/>
      </c>
      <c r="L363" s="139" t="str">
        <f t="shared" si="29"/>
        <v/>
      </c>
    </row>
    <row r="364" spans="1:12">
      <c r="A364" s="137" t="str">
        <f>IF(E364="","",VLOOKUP('Opći dio'!$C$3,'Opći dio'!$L$6:$U$137,10,FALSE))</f>
        <v/>
      </c>
      <c r="B364" s="137" t="str">
        <f>IF(E364="","",VLOOKUP('Opći dio'!$C$3,'Opći dio'!$L$6:$U$137,9,FALSE))</f>
        <v/>
      </c>
      <c r="C364" s="184" t="str">
        <f t="shared" si="25"/>
        <v/>
      </c>
      <c r="D364" s="136" t="str">
        <f t="shared" si="26"/>
        <v/>
      </c>
      <c r="E364" s="148"/>
      <c r="F364" s="188" t="str">
        <f t="shared" si="27"/>
        <v/>
      </c>
      <c r="G364" s="182"/>
      <c r="H364" s="182"/>
      <c r="I364" s="182"/>
      <c r="K364" s="139" t="str">
        <f t="shared" si="28"/>
        <v/>
      </c>
      <c r="L364" s="139" t="str">
        <f t="shared" si="29"/>
        <v/>
      </c>
    </row>
    <row r="365" spans="1:12">
      <c r="A365" s="137" t="str">
        <f>IF(E365="","",VLOOKUP('Opći dio'!$C$3,'Opći dio'!$L$6:$U$137,10,FALSE))</f>
        <v/>
      </c>
      <c r="B365" s="137" t="str">
        <f>IF(E365="","",VLOOKUP('Opći dio'!$C$3,'Opći dio'!$L$6:$U$137,9,FALSE))</f>
        <v/>
      </c>
      <c r="C365" s="184" t="str">
        <f t="shared" si="25"/>
        <v/>
      </c>
      <c r="D365" s="136" t="str">
        <f t="shared" si="26"/>
        <v/>
      </c>
      <c r="E365" s="148"/>
      <c r="F365" s="188" t="str">
        <f t="shared" si="27"/>
        <v/>
      </c>
      <c r="G365" s="182"/>
      <c r="H365" s="182"/>
      <c r="I365" s="182"/>
      <c r="K365" s="139" t="str">
        <f t="shared" si="28"/>
        <v/>
      </c>
      <c r="L365" s="139" t="str">
        <f t="shared" si="29"/>
        <v/>
      </c>
    </row>
    <row r="366" spans="1:12">
      <c r="A366" s="137" t="str">
        <f>IF(E366="","",VLOOKUP('Opći dio'!$C$3,'Opći dio'!$L$6:$U$137,10,FALSE))</f>
        <v/>
      </c>
      <c r="B366" s="137" t="str">
        <f>IF(E366="","",VLOOKUP('Opći dio'!$C$3,'Opći dio'!$L$6:$U$137,9,FALSE))</f>
        <v/>
      </c>
      <c r="C366" s="184" t="str">
        <f t="shared" si="25"/>
        <v/>
      </c>
      <c r="D366" s="136" t="str">
        <f t="shared" si="26"/>
        <v/>
      </c>
      <c r="E366" s="148"/>
      <c r="F366" s="188" t="str">
        <f t="shared" si="27"/>
        <v/>
      </c>
      <c r="G366" s="182"/>
      <c r="H366" s="182"/>
      <c r="I366" s="182"/>
      <c r="K366" s="139" t="str">
        <f t="shared" si="28"/>
        <v/>
      </c>
      <c r="L366" s="139" t="str">
        <f t="shared" si="29"/>
        <v/>
      </c>
    </row>
    <row r="367" spans="1:12">
      <c r="A367" s="137" t="str">
        <f>IF(E367="","",VLOOKUP('Opći dio'!$C$3,'Opći dio'!$L$6:$U$137,10,FALSE))</f>
        <v/>
      </c>
      <c r="B367" s="137" t="str">
        <f>IF(E367="","",VLOOKUP('Opći dio'!$C$3,'Opći dio'!$L$6:$U$137,9,FALSE))</f>
        <v/>
      </c>
      <c r="C367" s="184" t="str">
        <f t="shared" si="25"/>
        <v/>
      </c>
      <c r="D367" s="136" t="str">
        <f t="shared" si="26"/>
        <v/>
      </c>
      <c r="E367" s="148"/>
      <c r="F367" s="188" t="str">
        <f t="shared" si="27"/>
        <v/>
      </c>
      <c r="G367" s="182"/>
      <c r="H367" s="182"/>
      <c r="I367" s="182"/>
      <c r="K367" s="139" t="str">
        <f t="shared" si="28"/>
        <v/>
      </c>
      <c r="L367" s="139" t="str">
        <f t="shared" si="29"/>
        <v/>
      </c>
    </row>
    <row r="368" spans="1:12">
      <c r="A368" s="137" t="str">
        <f>IF(E368="","",VLOOKUP('Opći dio'!$C$3,'Opći dio'!$L$6:$U$137,10,FALSE))</f>
        <v/>
      </c>
      <c r="B368" s="137" t="str">
        <f>IF(E368="","",VLOOKUP('Opći dio'!$C$3,'Opći dio'!$L$6:$U$137,9,FALSE))</f>
        <v/>
      </c>
      <c r="C368" s="184" t="str">
        <f t="shared" si="25"/>
        <v/>
      </c>
      <c r="D368" s="136" t="str">
        <f t="shared" si="26"/>
        <v/>
      </c>
      <c r="E368" s="148"/>
      <c r="F368" s="188" t="str">
        <f t="shared" si="27"/>
        <v/>
      </c>
      <c r="G368" s="182"/>
      <c r="H368" s="182"/>
      <c r="I368" s="182"/>
      <c r="K368" s="139" t="str">
        <f t="shared" si="28"/>
        <v/>
      </c>
      <c r="L368" s="139" t="str">
        <f t="shared" si="29"/>
        <v/>
      </c>
    </row>
    <row r="369" spans="1:12">
      <c r="A369" s="137" t="str">
        <f>IF(E369="","",VLOOKUP('Opći dio'!$C$3,'Opći dio'!$L$6:$U$137,10,FALSE))</f>
        <v/>
      </c>
      <c r="B369" s="137" t="str">
        <f>IF(E369="","",VLOOKUP('Opći dio'!$C$3,'Opći dio'!$L$6:$U$137,9,FALSE))</f>
        <v/>
      </c>
      <c r="C369" s="184" t="str">
        <f t="shared" si="25"/>
        <v/>
      </c>
      <c r="D369" s="136" t="str">
        <f t="shared" si="26"/>
        <v/>
      </c>
      <c r="E369" s="148"/>
      <c r="F369" s="188" t="str">
        <f t="shared" si="27"/>
        <v/>
      </c>
      <c r="G369" s="182"/>
      <c r="H369" s="182"/>
      <c r="I369" s="182"/>
      <c r="K369" s="139" t="str">
        <f t="shared" si="28"/>
        <v/>
      </c>
      <c r="L369" s="139" t="str">
        <f t="shared" si="29"/>
        <v/>
      </c>
    </row>
    <row r="370" spans="1:12">
      <c r="A370" s="137" t="str">
        <f>IF(E370="","",VLOOKUP('Opći dio'!$C$3,'Opći dio'!$L$6:$U$137,10,FALSE))</f>
        <v/>
      </c>
      <c r="B370" s="137" t="str">
        <f>IF(E370="","",VLOOKUP('Opći dio'!$C$3,'Opći dio'!$L$6:$U$137,9,FALSE))</f>
        <v/>
      </c>
      <c r="C370" s="184" t="str">
        <f t="shared" si="25"/>
        <v/>
      </c>
      <c r="D370" s="136" t="str">
        <f t="shared" si="26"/>
        <v/>
      </c>
      <c r="E370" s="148"/>
      <c r="F370" s="188" t="str">
        <f t="shared" si="27"/>
        <v/>
      </c>
      <c r="G370" s="182"/>
      <c r="H370" s="182"/>
      <c r="I370" s="182"/>
      <c r="K370" s="139" t="str">
        <f t="shared" si="28"/>
        <v/>
      </c>
      <c r="L370" s="139" t="str">
        <f t="shared" si="29"/>
        <v/>
      </c>
    </row>
    <row r="371" spans="1:12">
      <c r="A371" s="137" t="str">
        <f>IF(E371="","",VLOOKUP('Opći dio'!$C$3,'Opći dio'!$L$6:$U$137,10,FALSE))</f>
        <v/>
      </c>
      <c r="B371" s="137" t="str">
        <f>IF(E371="","",VLOOKUP('Opći dio'!$C$3,'Opći dio'!$L$6:$U$137,9,FALSE))</f>
        <v/>
      </c>
      <c r="C371" s="184" t="str">
        <f t="shared" si="25"/>
        <v/>
      </c>
      <c r="D371" s="136" t="str">
        <f t="shared" si="26"/>
        <v/>
      </c>
      <c r="E371" s="148"/>
      <c r="F371" s="188" t="str">
        <f t="shared" si="27"/>
        <v/>
      </c>
      <c r="G371" s="182"/>
      <c r="H371" s="182"/>
      <c r="I371" s="182"/>
      <c r="K371" s="139" t="str">
        <f t="shared" si="28"/>
        <v/>
      </c>
      <c r="L371" s="139" t="str">
        <f t="shared" si="29"/>
        <v/>
      </c>
    </row>
    <row r="372" spans="1:12">
      <c r="A372" s="137" t="str">
        <f>IF(E372="","",VLOOKUP('Opći dio'!$C$3,'Opći dio'!$L$6:$U$137,10,FALSE))</f>
        <v/>
      </c>
      <c r="B372" s="137" t="str">
        <f>IF(E372="","",VLOOKUP('Opći dio'!$C$3,'Opći dio'!$L$6:$U$137,9,FALSE))</f>
        <v/>
      </c>
      <c r="C372" s="184" t="str">
        <f t="shared" si="25"/>
        <v/>
      </c>
      <c r="D372" s="136" t="str">
        <f t="shared" si="26"/>
        <v/>
      </c>
      <c r="E372" s="148"/>
      <c r="F372" s="188" t="str">
        <f t="shared" si="27"/>
        <v/>
      </c>
      <c r="G372" s="182"/>
      <c r="H372" s="182"/>
      <c r="I372" s="182"/>
      <c r="K372" s="139" t="str">
        <f t="shared" si="28"/>
        <v/>
      </c>
      <c r="L372" s="139" t="str">
        <f t="shared" si="29"/>
        <v/>
      </c>
    </row>
    <row r="373" spans="1:12">
      <c r="A373" s="137" t="str">
        <f>IF(E373="","",VLOOKUP('Opći dio'!$C$3,'Opći dio'!$L$6:$U$137,10,FALSE))</f>
        <v/>
      </c>
      <c r="B373" s="137" t="str">
        <f>IF(E373="","",VLOOKUP('Opći dio'!$C$3,'Opći dio'!$L$6:$U$137,9,FALSE))</f>
        <v/>
      </c>
      <c r="C373" s="184" t="str">
        <f t="shared" si="25"/>
        <v/>
      </c>
      <c r="D373" s="136" t="str">
        <f t="shared" si="26"/>
        <v/>
      </c>
      <c r="E373" s="148"/>
      <c r="F373" s="188" t="str">
        <f t="shared" si="27"/>
        <v/>
      </c>
      <c r="G373" s="182"/>
      <c r="H373" s="182"/>
      <c r="I373" s="182"/>
      <c r="K373" s="139" t="str">
        <f t="shared" si="28"/>
        <v/>
      </c>
      <c r="L373" s="139" t="str">
        <f t="shared" si="29"/>
        <v/>
      </c>
    </row>
    <row r="374" spans="1:12">
      <c r="A374" s="137" t="str">
        <f>IF(E374="","",VLOOKUP('Opći dio'!$C$3,'Opći dio'!$L$6:$U$137,10,FALSE))</f>
        <v/>
      </c>
      <c r="B374" s="137" t="str">
        <f>IF(E374="","",VLOOKUP('Opći dio'!$C$3,'Opći dio'!$L$6:$U$137,9,FALSE))</f>
        <v/>
      </c>
      <c r="C374" s="184" t="str">
        <f t="shared" si="25"/>
        <v/>
      </c>
      <c r="D374" s="136" t="str">
        <f t="shared" si="26"/>
        <v/>
      </c>
      <c r="E374" s="148"/>
      <c r="F374" s="188" t="str">
        <f t="shared" si="27"/>
        <v/>
      </c>
      <c r="G374" s="182"/>
      <c r="H374" s="182"/>
      <c r="I374" s="182"/>
      <c r="K374" s="139" t="str">
        <f t="shared" si="28"/>
        <v/>
      </c>
      <c r="L374" s="139" t="str">
        <f t="shared" si="29"/>
        <v/>
      </c>
    </row>
    <row r="375" spans="1:12">
      <c r="A375" s="137" t="str">
        <f>IF(E375="","",VLOOKUP('Opći dio'!$C$3,'Opći dio'!$L$6:$U$137,10,FALSE))</f>
        <v/>
      </c>
      <c r="B375" s="137" t="str">
        <f>IF(E375="","",VLOOKUP('Opći dio'!$C$3,'Opći dio'!$L$6:$U$137,9,FALSE))</f>
        <v/>
      </c>
      <c r="C375" s="184" t="str">
        <f t="shared" si="25"/>
        <v/>
      </c>
      <c r="D375" s="136" t="str">
        <f t="shared" si="26"/>
        <v/>
      </c>
      <c r="E375" s="148"/>
      <c r="F375" s="188" t="str">
        <f t="shared" si="27"/>
        <v/>
      </c>
      <c r="G375" s="182"/>
      <c r="H375" s="182"/>
      <c r="I375" s="182"/>
      <c r="K375" s="139" t="str">
        <f t="shared" si="28"/>
        <v/>
      </c>
      <c r="L375" s="139" t="str">
        <f t="shared" si="29"/>
        <v/>
      </c>
    </row>
    <row r="376" spans="1:12">
      <c r="A376" s="137" t="str">
        <f>IF(E376="","",VLOOKUP('Opći dio'!$C$3,'Opći dio'!$L$6:$U$137,10,FALSE))</f>
        <v/>
      </c>
      <c r="B376" s="137" t="str">
        <f>IF(E376="","",VLOOKUP('Opći dio'!$C$3,'Opći dio'!$L$6:$U$137,9,FALSE))</f>
        <v/>
      </c>
      <c r="C376" s="184" t="str">
        <f t="shared" si="25"/>
        <v/>
      </c>
      <c r="D376" s="136" t="str">
        <f t="shared" si="26"/>
        <v/>
      </c>
      <c r="E376" s="148"/>
      <c r="F376" s="188" t="str">
        <f t="shared" si="27"/>
        <v/>
      </c>
      <c r="G376" s="182"/>
      <c r="H376" s="182"/>
      <c r="I376" s="182"/>
      <c r="K376" s="139" t="str">
        <f t="shared" si="28"/>
        <v/>
      </c>
      <c r="L376" s="139" t="str">
        <f t="shared" si="29"/>
        <v/>
      </c>
    </row>
    <row r="377" spans="1:12">
      <c r="A377" s="137" t="str">
        <f>IF(E377="","",VLOOKUP('Opći dio'!$C$3,'Opći dio'!$L$6:$U$137,10,FALSE))</f>
        <v/>
      </c>
      <c r="B377" s="137" t="str">
        <f>IF(E377="","",VLOOKUP('Opći dio'!$C$3,'Opći dio'!$L$6:$U$137,9,FALSE))</f>
        <v/>
      </c>
      <c r="C377" s="184" t="str">
        <f t="shared" si="25"/>
        <v/>
      </c>
      <c r="D377" s="136" t="str">
        <f t="shared" si="26"/>
        <v/>
      </c>
      <c r="E377" s="148"/>
      <c r="F377" s="188" t="str">
        <f t="shared" si="27"/>
        <v/>
      </c>
      <c r="G377" s="182"/>
      <c r="H377" s="182"/>
      <c r="I377" s="182"/>
      <c r="K377" s="139" t="str">
        <f t="shared" si="28"/>
        <v/>
      </c>
      <c r="L377" s="139" t="str">
        <f t="shared" si="29"/>
        <v/>
      </c>
    </row>
    <row r="378" spans="1:12">
      <c r="A378" s="137" t="str">
        <f>IF(E378="","",VLOOKUP('Opći dio'!$C$3,'Opći dio'!$L$6:$U$137,10,FALSE))</f>
        <v/>
      </c>
      <c r="B378" s="137" t="str">
        <f>IF(E378="","",VLOOKUP('Opći dio'!$C$3,'Opći dio'!$L$6:$U$137,9,FALSE))</f>
        <v/>
      </c>
      <c r="C378" s="184" t="str">
        <f t="shared" si="25"/>
        <v/>
      </c>
      <c r="D378" s="136" t="str">
        <f t="shared" si="26"/>
        <v/>
      </c>
      <c r="E378" s="148"/>
      <c r="F378" s="188" t="str">
        <f t="shared" si="27"/>
        <v/>
      </c>
      <c r="G378" s="182"/>
      <c r="H378" s="182"/>
      <c r="I378" s="182"/>
      <c r="K378" s="139" t="str">
        <f t="shared" si="28"/>
        <v/>
      </c>
      <c r="L378" s="139" t="str">
        <f t="shared" si="29"/>
        <v/>
      </c>
    </row>
    <row r="379" spans="1:12">
      <c r="A379" s="137" t="str">
        <f>IF(E379="","",VLOOKUP('Opći dio'!$C$3,'Opći dio'!$L$6:$U$137,10,FALSE))</f>
        <v/>
      </c>
      <c r="B379" s="137" t="str">
        <f>IF(E379="","",VLOOKUP('Opći dio'!$C$3,'Opći dio'!$L$6:$U$137,9,FALSE))</f>
        <v/>
      </c>
      <c r="C379" s="184" t="str">
        <f t="shared" si="25"/>
        <v/>
      </c>
      <c r="D379" s="136" t="str">
        <f t="shared" si="26"/>
        <v/>
      </c>
      <c r="E379" s="148"/>
      <c r="F379" s="188" t="str">
        <f t="shared" si="27"/>
        <v/>
      </c>
      <c r="G379" s="182"/>
      <c r="H379" s="182"/>
      <c r="I379" s="182"/>
      <c r="K379" s="139" t="str">
        <f t="shared" si="28"/>
        <v/>
      </c>
      <c r="L379" s="139" t="str">
        <f t="shared" si="29"/>
        <v/>
      </c>
    </row>
    <row r="380" spans="1:12">
      <c r="A380" s="137" t="str">
        <f>IF(E380="","",VLOOKUP('Opći dio'!$C$3,'Opći dio'!$L$6:$U$137,10,FALSE))</f>
        <v/>
      </c>
      <c r="B380" s="137" t="str">
        <f>IF(E380="","",VLOOKUP('Opći dio'!$C$3,'Opći dio'!$L$6:$U$137,9,FALSE))</f>
        <v/>
      </c>
      <c r="C380" s="184" t="str">
        <f t="shared" si="25"/>
        <v/>
      </c>
      <c r="D380" s="136" t="str">
        <f t="shared" si="26"/>
        <v/>
      </c>
      <c r="E380" s="148"/>
      <c r="F380" s="188" t="str">
        <f t="shared" si="27"/>
        <v/>
      </c>
      <c r="G380" s="182"/>
      <c r="H380" s="182"/>
      <c r="I380" s="182"/>
      <c r="K380" s="139" t="str">
        <f t="shared" si="28"/>
        <v/>
      </c>
      <c r="L380" s="139" t="str">
        <f t="shared" si="29"/>
        <v/>
      </c>
    </row>
    <row r="381" spans="1:12">
      <c r="A381" s="137" t="str">
        <f>IF(E381="","",VLOOKUP('Opći dio'!$C$3,'Opći dio'!$L$6:$U$137,10,FALSE))</f>
        <v/>
      </c>
      <c r="B381" s="137" t="str">
        <f>IF(E381="","",VLOOKUP('Opći dio'!$C$3,'Opći dio'!$L$6:$U$137,9,FALSE))</f>
        <v/>
      </c>
      <c r="C381" s="184" t="str">
        <f t="shared" si="25"/>
        <v/>
      </c>
      <c r="D381" s="136" t="str">
        <f t="shared" si="26"/>
        <v/>
      </c>
      <c r="E381" s="148"/>
      <c r="F381" s="188" t="str">
        <f t="shared" si="27"/>
        <v/>
      </c>
      <c r="G381" s="182"/>
      <c r="H381" s="182"/>
      <c r="I381" s="182"/>
      <c r="K381" s="139" t="str">
        <f t="shared" si="28"/>
        <v/>
      </c>
      <c r="L381" s="139" t="str">
        <f t="shared" si="29"/>
        <v/>
      </c>
    </row>
    <row r="382" spans="1:12">
      <c r="A382" s="137" t="str">
        <f>IF(E382="","",VLOOKUP('Opći dio'!$C$3,'Opći dio'!$L$6:$U$137,10,FALSE))</f>
        <v/>
      </c>
      <c r="B382" s="137" t="str">
        <f>IF(E382="","",VLOOKUP('Opći dio'!$C$3,'Opći dio'!$L$6:$U$137,9,FALSE))</f>
        <v/>
      </c>
      <c r="C382" s="184" t="str">
        <f t="shared" si="25"/>
        <v/>
      </c>
      <c r="D382" s="136" t="str">
        <f t="shared" si="26"/>
        <v/>
      </c>
      <c r="E382" s="148"/>
      <c r="F382" s="188" t="str">
        <f t="shared" si="27"/>
        <v/>
      </c>
      <c r="G382" s="182"/>
      <c r="H382" s="182"/>
      <c r="I382" s="182"/>
      <c r="K382" s="139" t="str">
        <f t="shared" si="28"/>
        <v/>
      </c>
      <c r="L382" s="139" t="str">
        <f t="shared" si="29"/>
        <v/>
      </c>
    </row>
    <row r="383" spans="1:12">
      <c r="A383" s="137" t="str">
        <f>IF(E383="","",VLOOKUP('Opći dio'!$C$3,'Opći dio'!$L$6:$U$137,10,FALSE))</f>
        <v/>
      </c>
      <c r="B383" s="137" t="str">
        <f>IF(E383="","",VLOOKUP('Opći dio'!$C$3,'Opći dio'!$L$6:$U$137,9,FALSE))</f>
        <v/>
      </c>
      <c r="C383" s="184" t="str">
        <f t="shared" si="25"/>
        <v/>
      </c>
      <c r="D383" s="136" t="str">
        <f t="shared" si="26"/>
        <v/>
      </c>
      <c r="E383" s="148"/>
      <c r="F383" s="188" t="str">
        <f t="shared" si="27"/>
        <v/>
      </c>
      <c r="G383" s="182"/>
      <c r="H383" s="182"/>
      <c r="I383" s="182"/>
      <c r="K383" s="139" t="str">
        <f t="shared" si="28"/>
        <v/>
      </c>
      <c r="L383" s="139" t="str">
        <f t="shared" si="29"/>
        <v/>
      </c>
    </row>
    <row r="384" spans="1:12">
      <c r="A384" s="137" t="str">
        <f>IF(E384="","",VLOOKUP('Opći dio'!$C$3,'Opći dio'!$L$6:$U$137,10,FALSE))</f>
        <v/>
      </c>
      <c r="B384" s="137" t="str">
        <f>IF(E384="","",VLOOKUP('Opći dio'!$C$3,'Opći dio'!$L$6:$U$137,9,FALSE))</f>
        <v/>
      </c>
      <c r="C384" s="184" t="str">
        <f t="shared" si="25"/>
        <v/>
      </c>
      <c r="D384" s="136" t="str">
        <f t="shared" si="26"/>
        <v/>
      </c>
      <c r="E384" s="148"/>
      <c r="F384" s="188" t="str">
        <f t="shared" si="27"/>
        <v/>
      </c>
      <c r="G384" s="182"/>
      <c r="H384" s="182"/>
      <c r="I384" s="182"/>
      <c r="K384" s="139" t="str">
        <f t="shared" si="28"/>
        <v/>
      </c>
      <c r="L384" s="139" t="str">
        <f t="shared" si="29"/>
        <v/>
      </c>
    </row>
    <row r="385" spans="1:12">
      <c r="A385" s="137" t="str">
        <f>IF(E385="","",VLOOKUP('Opći dio'!$C$3,'Opći dio'!$L$6:$U$137,10,FALSE))</f>
        <v/>
      </c>
      <c r="B385" s="137" t="str">
        <f>IF(E385="","",VLOOKUP('Opći dio'!$C$3,'Opći dio'!$L$6:$U$137,9,FALSE))</f>
        <v/>
      </c>
      <c r="C385" s="184" t="str">
        <f t="shared" si="25"/>
        <v/>
      </c>
      <c r="D385" s="136" t="str">
        <f t="shared" si="26"/>
        <v/>
      </c>
      <c r="E385" s="148"/>
      <c r="F385" s="188" t="str">
        <f t="shared" si="27"/>
        <v/>
      </c>
      <c r="G385" s="182"/>
      <c r="H385" s="182"/>
      <c r="I385" s="182"/>
      <c r="K385" s="139" t="str">
        <f t="shared" si="28"/>
        <v/>
      </c>
      <c r="L385" s="139" t="str">
        <f t="shared" si="29"/>
        <v/>
      </c>
    </row>
    <row r="386" spans="1:12">
      <c r="A386" s="137" t="str">
        <f>IF(E386="","",VLOOKUP('Opći dio'!$C$3,'Opći dio'!$L$6:$U$137,10,FALSE))</f>
        <v/>
      </c>
      <c r="B386" s="137" t="str">
        <f>IF(E386="","",VLOOKUP('Opći dio'!$C$3,'Opći dio'!$L$6:$U$137,9,FALSE))</f>
        <v/>
      </c>
      <c r="C386" s="184" t="str">
        <f t="shared" si="25"/>
        <v/>
      </c>
      <c r="D386" s="136" t="str">
        <f t="shared" si="26"/>
        <v/>
      </c>
      <c r="E386" s="148"/>
      <c r="F386" s="188" t="str">
        <f t="shared" si="27"/>
        <v/>
      </c>
      <c r="G386" s="182"/>
      <c r="H386" s="182"/>
      <c r="I386" s="182"/>
      <c r="K386" s="139" t="str">
        <f t="shared" si="28"/>
        <v/>
      </c>
      <c r="L386" s="139" t="str">
        <f t="shared" si="29"/>
        <v/>
      </c>
    </row>
    <row r="387" spans="1:12">
      <c r="A387" s="137" t="str">
        <f>IF(E387="","",VLOOKUP('Opći dio'!$C$3,'Opći dio'!$L$6:$U$137,10,FALSE))</f>
        <v/>
      </c>
      <c r="B387" s="137" t="str">
        <f>IF(E387="","",VLOOKUP('Opći dio'!$C$3,'Opći dio'!$L$6:$U$137,9,FALSE))</f>
        <v/>
      </c>
      <c r="C387" s="184" t="str">
        <f t="shared" si="25"/>
        <v/>
      </c>
      <c r="D387" s="136" t="str">
        <f t="shared" si="26"/>
        <v/>
      </c>
      <c r="E387" s="148"/>
      <c r="F387" s="188" t="str">
        <f t="shared" si="27"/>
        <v/>
      </c>
      <c r="G387" s="182"/>
      <c r="H387" s="182"/>
      <c r="I387" s="182"/>
      <c r="K387" s="139" t="str">
        <f t="shared" si="28"/>
        <v/>
      </c>
      <c r="L387" s="139" t="str">
        <f t="shared" si="29"/>
        <v/>
      </c>
    </row>
    <row r="388" spans="1:12">
      <c r="A388" s="137" t="str">
        <f>IF(E388="","",VLOOKUP('Opći dio'!$C$3,'Opći dio'!$L$6:$U$137,10,FALSE))</f>
        <v/>
      </c>
      <c r="B388" s="137" t="str">
        <f>IF(E388="","",VLOOKUP('Opći dio'!$C$3,'Opći dio'!$L$6:$U$137,9,FALSE))</f>
        <v/>
      </c>
      <c r="C388" s="184" t="str">
        <f t="shared" ref="C388:C451" si="30">IFERROR(VLOOKUP(E388,$Q$6:$T$105,3,FALSE),"")</f>
        <v/>
      </c>
      <c r="D388" s="136" t="str">
        <f t="shared" ref="D388:D451" si="31">IFERROR(VLOOKUP(E388,$Q$6:$T$105,4,FALSE),"")</f>
        <v/>
      </c>
      <c r="E388" s="148"/>
      <c r="F388" s="188" t="str">
        <f t="shared" ref="F388:F451" si="32">IFERROR(VLOOKUP(E388,$Q$6:$T$105,2,FALSE),"")</f>
        <v/>
      </c>
      <c r="G388" s="182"/>
      <c r="H388" s="182"/>
      <c r="I388" s="182"/>
      <c r="K388" s="139" t="str">
        <f t="shared" ref="K388:K451" si="33">LEFT(E388,3)</f>
        <v/>
      </c>
      <c r="L388" s="139" t="str">
        <f t="shared" ref="L388:L451" si="34">LEFT(E388,2)</f>
        <v/>
      </c>
    </row>
    <row r="389" spans="1:12">
      <c r="A389" s="137" t="str">
        <f>IF(E389="","",VLOOKUP('Opći dio'!$C$3,'Opći dio'!$L$6:$U$137,10,FALSE))</f>
        <v/>
      </c>
      <c r="B389" s="137" t="str">
        <f>IF(E389="","",VLOOKUP('Opći dio'!$C$3,'Opći dio'!$L$6:$U$137,9,FALSE))</f>
        <v/>
      </c>
      <c r="C389" s="184" t="str">
        <f t="shared" si="30"/>
        <v/>
      </c>
      <c r="D389" s="136" t="str">
        <f t="shared" si="31"/>
        <v/>
      </c>
      <c r="E389" s="148"/>
      <c r="F389" s="188" t="str">
        <f t="shared" si="32"/>
        <v/>
      </c>
      <c r="G389" s="182"/>
      <c r="H389" s="182"/>
      <c r="I389" s="182"/>
      <c r="K389" s="139" t="str">
        <f t="shared" si="33"/>
        <v/>
      </c>
      <c r="L389" s="139" t="str">
        <f t="shared" si="34"/>
        <v/>
      </c>
    </row>
    <row r="390" spans="1:12">
      <c r="A390" s="137" t="str">
        <f>IF(E390="","",VLOOKUP('Opći dio'!$C$3,'Opći dio'!$L$6:$U$137,10,FALSE))</f>
        <v/>
      </c>
      <c r="B390" s="137" t="str">
        <f>IF(E390="","",VLOOKUP('Opći dio'!$C$3,'Opći dio'!$L$6:$U$137,9,FALSE))</f>
        <v/>
      </c>
      <c r="C390" s="184" t="str">
        <f t="shared" si="30"/>
        <v/>
      </c>
      <c r="D390" s="136" t="str">
        <f t="shared" si="31"/>
        <v/>
      </c>
      <c r="E390" s="148"/>
      <c r="F390" s="188" t="str">
        <f t="shared" si="32"/>
        <v/>
      </c>
      <c r="G390" s="182"/>
      <c r="H390" s="182"/>
      <c r="I390" s="182"/>
      <c r="K390" s="139" t="str">
        <f t="shared" si="33"/>
        <v/>
      </c>
      <c r="L390" s="139" t="str">
        <f t="shared" si="34"/>
        <v/>
      </c>
    </row>
    <row r="391" spans="1:12">
      <c r="A391" s="137" t="str">
        <f>IF(E391="","",VLOOKUP('Opći dio'!$C$3,'Opći dio'!$L$6:$U$137,10,FALSE))</f>
        <v/>
      </c>
      <c r="B391" s="137" t="str">
        <f>IF(E391="","",VLOOKUP('Opći dio'!$C$3,'Opći dio'!$L$6:$U$137,9,FALSE))</f>
        <v/>
      </c>
      <c r="C391" s="184" t="str">
        <f t="shared" si="30"/>
        <v/>
      </c>
      <c r="D391" s="136" t="str">
        <f t="shared" si="31"/>
        <v/>
      </c>
      <c r="E391" s="148"/>
      <c r="F391" s="188" t="str">
        <f t="shared" si="32"/>
        <v/>
      </c>
      <c r="G391" s="182"/>
      <c r="H391" s="182"/>
      <c r="I391" s="182"/>
      <c r="K391" s="139" t="str">
        <f t="shared" si="33"/>
        <v/>
      </c>
      <c r="L391" s="139" t="str">
        <f t="shared" si="34"/>
        <v/>
      </c>
    </row>
    <row r="392" spans="1:12">
      <c r="A392" s="137" t="str">
        <f>IF(E392="","",VLOOKUP('Opći dio'!$C$3,'Opći dio'!$L$6:$U$137,10,FALSE))</f>
        <v/>
      </c>
      <c r="B392" s="137" t="str">
        <f>IF(E392="","",VLOOKUP('Opći dio'!$C$3,'Opći dio'!$L$6:$U$137,9,FALSE))</f>
        <v/>
      </c>
      <c r="C392" s="184" t="str">
        <f t="shared" si="30"/>
        <v/>
      </c>
      <c r="D392" s="136" t="str">
        <f t="shared" si="31"/>
        <v/>
      </c>
      <c r="E392" s="148"/>
      <c r="F392" s="188" t="str">
        <f t="shared" si="32"/>
        <v/>
      </c>
      <c r="G392" s="182"/>
      <c r="H392" s="182"/>
      <c r="I392" s="182"/>
      <c r="K392" s="139" t="str">
        <f t="shared" si="33"/>
        <v/>
      </c>
      <c r="L392" s="139" t="str">
        <f t="shared" si="34"/>
        <v/>
      </c>
    </row>
    <row r="393" spans="1:12">
      <c r="A393" s="137" t="str">
        <f>IF(E393="","",VLOOKUP('Opći dio'!$C$3,'Opći dio'!$L$6:$U$137,10,FALSE))</f>
        <v/>
      </c>
      <c r="B393" s="137" t="str">
        <f>IF(E393="","",VLOOKUP('Opći dio'!$C$3,'Opći dio'!$L$6:$U$137,9,FALSE))</f>
        <v/>
      </c>
      <c r="C393" s="184" t="str">
        <f t="shared" si="30"/>
        <v/>
      </c>
      <c r="D393" s="136" t="str">
        <f t="shared" si="31"/>
        <v/>
      </c>
      <c r="E393" s="148"/>
      <c r="F393" s="188" t="str">
        <f t="shared" si="32"/>
        <v/>
      </c>
      <c r="G393" s="182"/>
      <c r="H393" s="182"/>
      <c r="I393" s="182"/>
      <c r="K393" s="139" t="str">
        <f t="shared" si="33"/>
        <v/>
      </c>
      <c r="L393" s="139" t="str">
        <f t="shared" si="34"/>
        <v/>
      </c>
    </row>
    <row r="394" spans="1:12">
      <c r="A394" s="137" t="str">
        <f>IF(E394="","",VLOOKUP('Opći dio'!$C$3,'Opći dio'!$L$6:$U$137,10,FALSE))</f>
        <v/>
      </c>
      <c r="B394" s="137" t="str">
        <f>IF(E394="","",VLOOKUP('Opći dio'!$C$3,'Opći dio'!$L$6:$U$137,9,FALSE))</f>
        <v/>
      </c>
      <c r="C394" s="184" t="str">
        <f t="shared" si="30"/>
        <v/>
      </c>
      <c r="D394" s="136" t="str">
        <f t="shared" si="31"/>
        <v/>
      </c>
      <c r="E394" s="148"/>
      <c r="F394" s="188" t="str">
        <f t="shared" si="32"/>
        <v/>
      </c>
      <c r="G394" s="182"/>
      <c r="H394" s="182"/>
      <c r="I394" s="182"/>
      <c r="K394" s="139" t="str">
        <f t="shared" si="33"/>
        <v/>
      </c>
      <c r="L394" s="139" t="str">
        <f t="shared" si="34"/>
        <v/>
      </c>
    </row>
    <row r="395" spans="1:12">
      <c r="A395" s="137" t="str">
        <f>IF(E395="","",VLOOKUP('Opći dio'!$C$3,'Opći dio'!$L$6:$U$137,10,FALSE))</f>
        <v/>
      </c>
      <c r="B395" s="137" t="str">
        <f>IF(E395="","",VLOOKUP('Opći dio'!$C$3,'Opći dio'!$L$6:$U$137,9,FALSE))</f>
        <v/>
      </c>
      <c r="C395" s="184" t="str">
        <f t="shared" si="30"/>
        <v/>
      </c>
      <c r="D395" s="136" t="str">
        <f t="shared" si="31"/>
        <v/>
      </c>
      <c r="E395" s="148"/>
      <c r="F395" s="188" t="str">
        <f t="shared" si="32"/>
        <v/>
      </c>
      <c r="G395" s="182"/>
      <c r="H395" s="182"/>
      <c r="I395" s="182"/>
      <c r="K395" s="139" t="str">
        <f t="shared" si="33"/>
        <v/>
      </c>
      <c r="L395" s="139" t="str">
        <f t="shared" si="34"/>
        <v/>
      </c>
    </row>
    <row r="396" spans="1:12">
      <c r="A396" s="137" t="str">
        <f>IF(E396="","",VLOOKUP('Opći dio'!$C$3,'Opći dio'!$L$6:$U$137,10,FALSE))</f>
        <v/>
      </c>
      <c r="B396" s="137" t="str">
        <f>IF(E396="","",VLOOKUP('Opći dio'!$C$3,'Opći dio'!$L$6:$U$137,9,FALSE))</f>
        <v/>
      </c>
      <c r="C396" s="184" t="str">
        <f t="shared" si="30"/>
        <v/>
      </c>
      <c r="D396" s="136" t="str">
        <f t="shared" si="31"/>
        <v/>
      </c>
      <c r="E396" s="148"/>
      <c r="F396" s="188" t="str">
        <f t="shared" si="32"/>
        <v/>
      </c>
      <c r="G396" s="182"/>
      <c r="H396" s="182"/>
      <c r="I396" s="182"/>
      <c r="K396" s="139" t="str">
        <f t="shared" si="33"/>
        <v/>
      </c>
      <c r="L396" s="139" t="str">
        <f t="shared" si="34"/>
        <v/>
      </c>
    </row>
    <row r="397" spans="1:12">
      <c r="A397" s="137" t="str">
        <f>IF(E397="","",VLOOKUP('Opći dio'!$C$3,'Opći dio'!$L$6:$U$137,10,FALSE))</f>
        <v/>
      </c>
      <c r="B397" s="137" t="str">
        <f>IF(E397="","",VLOOKUP('Opći dio'!$C$3,'Opći dio'!$L$6:$U$137,9,FALSE))</f>
        <v/>
      </c>
      <c r="C397" s="184" t="str">
        <f t="shared" si="30"/>
        <v/>
      </c>
      <c r="D397" s="136" t="str">
        <f t="shared" si="31"/>
        <v/>
      </c>
      <c r="E397" s="148"/>
      <c r="F397" s="188" t="str">
        <f t="shared" si="32"/>
        <v/>
      </c>
      <c r="G397" s="182"/>
      <c r="H397" s="182"/>
      <c r="I397" s="182"/>
      <c r="K397" s="139" t="str">
        <f t="shared" si="33"/>
        <v/>
      </c>
      <c r="L397" s="139" t="str">
        <f t="shared" si="34"/>
        <v/>
      </c>
    </row>
    <row r="398" spans="1:12">
      <c r="A398" s="137" t="str">
        <f>IF(E398="","",VLOOKUP('Opći dio'!$C$3,'Opći dio'!$L$6:$U$137,10,FALSE))</f>
        <v/>
      </c>
      <c r="B398" s="137" t="str">
        <f>IF(E398="","",VLOOKUP('Opći dio'!$C$3,'Opći dio'!$L$6:$U$137,9,FALSE))</f>
        <v/>
      </c>
      <c r="C398" s="184" t="str">
        <f t="shared" si="30"/>
        <v/>
      </c>
      <c r="D398" s="136" t="str">
        <f t="shared" si="31"/>
        <v/>
      </c>
      <c r="E398" s="148"/>
      <c r="F398" s="188" t="str">
        <f t="shared" si="32"/>
        <v/>
      </c>
      <c r="G398" s="182"/>
      <c r="H398" s="182"/>
      <c r="I398" s="182"/>
      <c r="K398" s="139" t="str">
        <f t="shared" si="33"/>
        <v/>
      </c>
      <c r="L398" s="139" t="str">
        <f t="shared" si="34"/>
        <v/>
      </c>
    </row>
    <row r="399" spans="1:12">
      <c r="A399" s="137" t="str">
        <f>IF(E399="","",VLOOKUP('Opći dio'!$C$3,'Opći dio'!$L$6:$U$137,10,FALSE))</f>
        <v/>
      </c>
      <c r="B399" s="137" t="str">
        <f>IF(E399="","",VLOOKUP('Opći dio'!$C$3,'Opći dio'!$L$6:$U$137,9,FALSE))</f>
        <v/>
      </c>
      <c r="C399" s="184" t="str">
        <f t="shared" si="30"/>
        <v/>
      </c>
      <c r="D399" s="136" t="str">
        <f t="shared" si="31"/>
        <v/>
      </c>
      <c r="E399" s="148"/>
      <c r="F399" s="188" t="str">
        <f t="shared" si="32"/>
        <v/>
      </c>
      <c r="G399" s="182"/>
      <c r="H399" s="182"/>
      <c r="I399" s="182"/>
      <c r="K399" s="139" t="str">
        <f t="shared" si="33"/>
        <v/>
      </c>
      <c r="L399" s="139" t="str">
        <f t="shared" si="34"/>
        <v/>
      </c>
    </row>
    <row r="400" spans="1:12">
      <c r="A400" s="137" t="str">
        <f>IF(E400="","",VLOOKUP('Opći dio'!$C$3,'Opći dio'!$L$6:$U$137,10,FALSE))</f>
        <v/>
      </c>
      <c r="B400" s="137" t="str">
        <f>IF(E400="","",VLOOKUP('Opći dio'!$C$3,'Opći dio'!$L$6:$U$137,9,FALSE))</f>
        <v/>
      </c>
      <c r="C400" s="184" t="str">
        <f t="shared" si="30"/>
        <v/>
      </c>
      <c r="D400" s="136" t="str">
        <f t="shared" si="31"/>
        <v/>
      </c>
      <c r="E400" s="148"/>
      <c r="F400" s="188" t="str">
        <f t="shared" si="32"/>
        <v/>
      </c>
      <c r="G400" s="182"/>
      <c r="H400" s="182"/>
      <c r="I400" s="182"/>
      <c r="K400" s="139" t="str">
        <f t="shared" si="33"/>
        <v/>
      </c>
      <c r="L400" s="139" t="str">
        <f t="shared" si="34"/>
        <v/>
      </c>
    </row>
    <row r="401" spans="1:12">
      <c r="A401" s="137" t="str">
        <f>IF(E401="","",VLOOKUP('Opći dio'!$C$3,'Opći dio'!$L$6:$U$137,10,FALSE))</f>
        <v/>
      </c>
      <c r="B401" s="137" t="str">
        <f>IF(E401="","",VLOOKUP('Opći dio'!$C$3,'Opći dio'!$L$6:$U$137,9,FALSE))</f>
        <v/>
      </c>
      <c r="C401" s="184" t="str">
        <f t="shared" si="30"/>
        <v/>
      </c>
      <c r="D401" s="136" t="str">
        <f t="shared" si="31"/>
        <v/>
      </c>
      <c r="E401" s="148"/>
      <c r="F401" s="188" t="str">
        <f t="shared" si="32"/>
        <v/>
      </c>
      <c r="G401" s="182"/>
      <c r="H401" s="182"/>
      <c r="I401" s="182"/>
      <c r="K401" s="139" t="str">
        <f t="shared" si="33"/>
        <v/>
      </c>
      <c r="L401" s="139" t="str">
        <f t="shared" si="34"/>
        <v/>
      </c>
    </row>
    <row r="402" spans="1:12">
      <c r="A402" s="137" t="str">
        <f>IF(E402="","",VLOOKUP('Opći dio'!$C$3,'Opći dio'!$L$6:$U$137,10,FALSE))</f>
        <v/>
      </c>
      <c r="B402" s="137" t="str">
        <f>IF(E402="","",VLOOKUP('Opći dio'!$C$3,'Opći dio'!$L$6:$U$137,9,FALSE))</f>
        <v/>
      </c>
      <c r="C402" s="184" t="str">
        <f t="shared" si="30"/>
        <v/>
      </c>
      <c r="D402" s="136" t="str">
        <f t="shared" si="31"/>
        <v/>
      </c>
      <c r="E402" s="148"/>
      <c r="F402" s="188" t="str">
        <f t="shared" si="32"/>
        <v/>
      </c>
      <c r="G402" s="182"/>
      <c r="H402" s="182"/>
      <c r="I402" s="182"/>
      <c r="K402" s="139" t="str">
        <f t="shared" si="33"/>
        <v/>
      </c>
      <c r="L402" s="139" t="str">
        <f t="shared" si="34"/>
        <v/>
      </c>
    </row>
    <row r="403" spans="1:12">
      <c r="A403" s="137" t="str">
        <f>IF(E403="","",VLOOKUP('Opći dio'!$C$3,'Opći dio'!$L$6:$U$137,10,FALSE))</f>
        <v/>
      </c>
      <c r="B403" s="137" t="str">
        <f>IF(E403="","",VLOOKUP('Opći dio'!$C$3,'Opći dio'!$L$6:$U$137,9,FALSE))</f>
        <v/>
      </c>
      <c r="C403" s="184" t="str">
        <f t="shared" si="30"/>
        <v/>
      </c>
      <c r="D403" s="136" t="str">
        <f t="shared" si="31"/>
        <v/>
      </c>
      <c r="E403" s="148"/>
      <c r="F403" s="188" t="str">
        <f t="shared" si="32"/>
        <v/>
      </c>
      <c r="G403" s="182"/>
      <c r="H403" s="182"/>
      <c r="I403" s="182"/>
      <c r="K403" s="139" t="str">
        <f t="shared" si="33"/>
        <v/>
      </c>
      <c r="L403" s="139" t="str">
        <f t="shared" si="34"/>
        <v/>
      </c>
    </row>
    <row r="404" spans="1:12">
      <c r="A404" s="137" t="str">
        <f>IF(E404="","",VLOOKUP('Opći dio'!$C$3,'Opći dio'!$L$6:$U$137,10,FALSE))</f>
        <v/>
      </c>
      <c r="B404" s="137" t="str">
        <f>IF(E404="","",VLOOKUP('Opći dio'!$C$3,'Opći dio'!$L$6:$U$137,9,FALSE))</f>
        <v/>
      </c>
      <c r="C404" s="184" t="str">
        <f t="shared" si="30"/>
        <v/>
      </c>
      <c r="D404" s="136" t="str">
        <f t="shared" si="31"/>
        <v/>
      </c>
      <c r="E404" s="148"/>
      <c r="F404" s="188" t="str">
        <f t="shared" si="32"/>
        <v/>
      </c>
      <c r="G404" s="182"/>
      <c r="H404" s="182"/>
      <c r="I404" s="182"/>
      <c r="K404" s="139" t="str">
        <f t="shared" si="33"/>
        <v/>
      </c>
      <c r="L404" s="139" t="str">
        <f t="shared" si="34"/>
        <v/>
      </c>
    </row>
    <row r="405" spans="1:12">
      <c r="A405" s="137" t="str">
        <f>IF(E405="","",VLOOKUP('Opći dio'!$C$3,'Opći dio'!$L$6:$U$137,10,FALSE))</f>
        <v/>
      </c>
      <c r="B405" s="137" t="str">
        <f>IF(E405="","",VLOOKUP('Opći dio'!$C$3,'Opći dio'!$L$6:$U$137,9,FALSE))</f>
        <v/>
      </c>
      <c r="C405" s="184" t="str">
        <f t="shared" si="30"/>
        <v/>
      </c>
      <c r="D405" s="136" t="str">
        <f t="shared" si="31"/>
        <v/>
      </c>
      <c r="E405" s="148"/>
      <c r="F405" s="188" t="str">
        <f t="shared" si="32"/>
        <v/>
      </c>
      <c r="G405" s="182"/>
      <c r="H405" s="182"/>
      <c r="I405" s="182"/>
      <c r="K405" s="139" t="str">
        <f t="shared" si="33"/>
        <v/>
      </c>
      <c r="L405" s="139" t="str">
        <f t="shared" si="34"/>
        <v/>
      </c>
    </row>
    <row r="406" spans="1:12">
      <c r="A406" s="137" t="str">
        <f>IF(E406="","",VLOOKUP('Opći dio'!$C$3,'Opći dio'!$L$6:$U$137,10,FALSE))</f>
        <v/>
      </c>
      <c r="B406" s="137" t="str">
        <f>IF(E406="","",VLOOKUP('Opći dio'!$C$3,'Opći dio'!$L$6:$U$137,9,FALSE))</f>
        <v/>
      </c>
      <c r="C406" s="184" t="str">
        <f t="shared" si="30"/>
        <v/>
      </c>
      <c r="D406" s="136" t="str">
        <f t="shared" si="31"/>
        <v/>
      </c>
      <c r="E406" s="148"/>
      <c r="F406" s="188" t="str">
        <f t="shared" si="32"/>
        <v/>
      </c>
      <c r="G406" s="182"/>
      <c r="H406" s="182"/>
      <c r="I406" s="182"/>
      <c r="K406" s="139" t="str">
        <f t="shared" si="33"/>
        <v/>
      </c>
      <c r="L406" s="139" t="str">
        <f t="shared" si="34"/>
        <v/>
      </c>
    </row>
    <row r="407" spans="1:12">
      <c r="A407" s="137" t="str">
        <f>IF(E407="","",VLOOKUP('Opći dio'!$C$3,'Opći dio'!$L$6:$U$137,10,FALSE))</f>
        <v/>
      </c>
      <c r="B407" s="137" t="str">
        <f>IF(E407="","",VLOOKUP('Opći dio'!$C$3,'Opći dio'!$L$6:$U$137,9,FALSE))</f>
        <v/>
      </c>
      <c r="C407" s="184" t="str">
        <f t="shared" si="30"/>
        <v/>
      </c>
      <c r="D407" s="136" t="str">
        <f t="shared" si="31"/>
        <v/>
      </c>
      <c r="E407" s="148"/>
      <c r="F407" s="188" t="str">
        <f t="shared" si="32"/>
        <v/>
      </c>
      <c r="G407" s="182"/>
      <c r="H407" s="182"/>
      <c r="I407" s="182"/>
      <c r="K407" s="139" t="str">
        <f t="shared" si="33"/>
        <v/>
      </c>
      <c r="L407" s="139" t="str">
        <f t="shared" si="34"/>
        <v/>
      </c>
    </row>
    <row r="408" spans="1:12">
      <c r="A408" s="137" t="str">
        <f>IF(E408="","",VLOOKUP('Opći dio'!$C$3,'Opći dio'!$L$6:$U$137,10,FALSE))</f>
        <v/>
      </c>
      <c r="B408" s="137" t="str">
        <f>IF(E408="","",VLOOKUP('Opći dio'!$C$3,'Opći dio'!$L$6:$U$137,9,FALSE))</f>
        <v/>
      </c>
      <c r="C408" s="184" t="str">
        <f t="shared" si="30"/>
        <v/>
      </c>
      <c r="D408" s="136" t="str">
        <f t="shared" si="31"/>
        <v/>
      </c>
      <c r="E408" s="148"/>
      <c r="F408" s="188" t="str">
        <f t="shared" si="32"/>
        <v/>
      </c>
      <c r="G408" s="182"/>
      <c r="H408" s="182"/>
      <c r="I408" s="182"/>
      <c r="K408" s="139" t="str">
        <f t="shared" si="33"/>
        <v/>
      </c>
      <c r="L408" s="139" t="str">
        <f t="shared" si="34"/>
        <v/>
      </c>
    </row>
    <row r="409" spans="1:12">
      <c r="A409" s="137" t="str">
        <f>IF(E409="","",VLOOKUP('Opći dio'!$C$3,'Opći dio'!$L$6:$U$137,10,FALSE))</f>
        <v/>
      </c>
      <c r="B409" s="137" t="str">
        <f>IF(E409="","",VLOOKUP('Opći dio'!$C$3,'Opći dio'!$L$6:$U$137,9,FALSE))</f>
        <v/>
      </c>
      <c r="C409" s="184" t="str">
        <f t="shared" si="30"/>
        <v/>
      </c>
      <c r="D409" s="136" t="str">
        <f t="shared" si="31"/>
        <v/>
      </c>
      <c r="E409" s="148"/>
      <c r="F409" s="188" t="str">
        <f t="shared" si="32"/>
        <v/>
      </c>
      <c r="G409" s="182"/>
      <c r="H409" s="182"/>
      <c r="I409" s="182"/>
      <c r="K409" s="139" t="str">
        <f t="shared" si="33"/>
        <v/>
      </c>
      <c r="L409" s="139" t="str">
        <f t="shared" si="34"/>
        <v/>
      </c>
    </row>
    <row r="410" spans="1:12">
      <c r="A410" s="137" t="str">
        <f>IF(E410="","",VLOOKUP('Opći dio'!$C$3,'Opći dio'!$L$6:$U$137,10,FALSE))</f>
        <v/>
      </c>
      <c r="B410" s="137" t="str">
        <f>IF(E410="","",VLOOKUP('Opći dio'!$C$3,'Opći dio'!$L$6:$U$137,9,FALSE))</f>
        <v/>
      </c>
      <c r="C410" s="184" t="str">
        <f t="shared" si="30"/>
        <v/>
      </c>
      <c r="D410" s="136" t="str">
        <f t="shared" si="31"/>
        <v/>
      </c>
      <c r="E410" s="148"/>
      <c r="F410" s="188" t="str">
        <f t="shared" si="32"/>
        <v/>
      </c>
      <c r="G410" s="182"/>
      <c r="H410" s="182"/>
      <c r="I410" s="182"/>
      <c r="K410" s="139" t="str">
        <f t="shared" si="33"/>
        <v/>
      </c>
      <c r="L410" s="139" t="str">
        <f t="shared" si="34"/>
        <v/>
      </c>
    </row>
    <row r="411" spans="1:12">
      <c r="A411" s="137" t="str">
        <f>IF(E411="","",VLOOKUP('Opći dio'!$C$3,'Opći dio'!$L$6:$U$137,10,FALSE))</f>
        <v/>
      </c>
      <c r="B411" s="137" t="str">
        <f>IF(E411="","",VLOOKUP('Opći dio'!$C$3,'Opći dio'!$L$6:$U$137,9,FALSE))</f>
        <v/>
      </c>
      <c r="C411" s="184" t="str">
        <f t="shared" si="30"/>
        <v/>
      </c>
      <c r="D411" s="136" t="str">
        <f t="shared" si="31"/>
        <v/>
      </c>
      <c r="E411" s="148"/>
      <c r="F411" s="188" t="str">
        <f t="shared" si="32"/>
        <v/>
      </c>
      <c r="G411" s="182"/>
      <c r="H411" s="182"/>
      <c r="I411" s="182"/>
      <c r="K411" s="139" t="str">
        <f t="shared" si="33"/>
        <v/>
      </c>
      <c r="L411" s="139" t="str">
        <f t="shared" si="34"/>
        <v/>
      </c>
    </row>
    <row r="412" spans="1:12">
      <c r="A412" s="137" t="str">
        <f>IF(E412="","",VLOOKUP('Opći dio'!$C$3,'Opći dio'!$L$6:$U$137,10,FALSE))</f>
        <v/>
      </c>
      <c r="B412" s="137" t="str">
        <f>IF(E412="","",VLOOKUP('Opći dio'!$C$3,'Opći dio'!$L$6:$U$137,9,FALSE))</f>
        <v/>
      </c>
      <c r="C412" s="184" t="str">
        <f t="shared" si="30"/>
        <v/>
      </c>
      <c r="D412" s="136" t="str">
        <f t="shared" si="31"/>
        <v/>
      </c>
      <c r="E412" s="148"/>
      <c r="F412" s="188" t="str">
        <f t="shared" si="32"/>
        <v/>
      </c>
      <c r="G412" s="182"/>
      <c r="H412" s="182"/>
      <c r="I412" s="182"/>
      <c r="K412" s="139" t="str">
        <f t="shared" si="33"/>
        <v/>
      </c>
      <c r="L412" s="139" t="str">
        <f t="shared" si="34"/>
        <v/>
      </c>
    </row>
    <row r="413" spans="1:12">
      <c r="A413" s="137" t="str">
        <f>IF(E413="","",VLOOKUP('Opći dio'!$C$3,'Opći dio'!$L$6:$U$137,10,FALSE))</f>
        <v/>
      </c>
      <c r="B413" s="137" t="str">
        <f>IF(E413="","",VLOOKUP('Opći dio'!$C$3,'Opći dio'!$L$6:$U$137,9,FALSE))</f>
        <v/>
      </c>
      <c r="C413" s="184" t="str">
        <f t="shared" si="30"/>
        <v/>
      </c>
      <c r="D413" s="136" t="str">
        <f t="shared" si="31"/>
        <v/>
      </c>
      <c r="E413" s="148"/>
      <c r="F413" s="188" t="str">
        <f t="shared" si="32"/>
        <v/>
      </c>
      <c r="G413" s="182"/>
      <c r="H413" s="182"/>
      <c r="I413" s="182"/>
      <c r="K413" s="139" t="str">
        <f t="shared" si="33"/>
        <v/>
      </c>
      <c r="L413" s="139" t="str">
        <f t="shared" si="34"/>
        <v/>
      </c>
    </row>
    <row r="414" spans="1:12">
      <c r="A414" s="137" t="str">
        <f>IF(E414="","",VLOOKUP('Opći dio'!$C$3,'Opći dio'!$L$6:$U$137,10,FALSE))</f>
        <v/>
      </c>
      <c r="B414" s="137" t="str">
        <f>IF(E414="","",VLOOKUP('Opći dio'!$C$3,'Opći dio'!$L$6:$U$137,9,FALSE))</f>
        <v/>
      </c>
      <c r="C414" s="184" t="str">
        <f t="shared" si="30"/>
        <v/>
      </c>
      <c r="D414" s="136" t="str">
        <f t="shared" si="31"/>
        <v/>
      </c>
      <c r="E414" s="148"/>
      <c r="F414" s="188" t="str">
        <f t="shared" si="32"/>
        <v/>
      </c>
      <c r="G414" s="182"/>
      <c r="H414" s="182"/>
      <c r="I414" s="182"/>
      <c r="K414" s="139" t="str">
        <f t="shared" si="33"/>
        <v/>
      </c>
      <c r="L414" s="139" t="str">
        <f t="shared" si="34"/>
        <v/>
      </c>
    </row>
    <row r="415" spans="1:12">
      <c r="A415" s="137" t="str">
        <f>IF(E415="","",VLOOKUP('Opći dio'!$C$3,'Opći dio'!$L$6:$U$137,10,FALSE))</f>
        <v/>
      </c>
      <c r="B415" s="137" t="str">
        <f>IF(E415="","",VLOOKUP('Opći dio'!$C$3,'Opći dio'!$L$6:$U$137,9,FALSE))</f>
        <v/>
      </c>
      <c r="C415" s="184" t="str">
        <f t="shared" si="30"/>
        <v/>
      </c>
      <c r="D415" s="136" t="str">
        <f t="shared" si="31"/>
        <v/>
      </c>
      <c r="E415" s="148"/>
      <c r="F415" s="188" t="str">
        <f t="shared" si="32"/>
        <v/>
      </c>
      <c r="G415" s="182"/>
      <c r="H415" s="182"/>
      <c r="I415" s="182"/>
      <c r="K415" s="139" t="str">
        <f t="shared" si="33"/>
        <v/>
      </c>
      <c r="L415" s="139" t="str">
        <f t="shared" si="34"/>
        <v/>
      </c>
    </row>
    <row r="416" spans="1:12">
      <c r="A416" s="137" t="str">
        <f>IF(E416="","",VLOOKUP('Opći dio'!$C$3,'Opći dio'!$L$6:$U$137,10,FALSE))</f>
        <v/>
      </c>
      <c r="B416" s="137" t="str">
        <f>IF(E416="","",VLOOKUP('Opći dio'!$C$3,'Opći dio'!$L$6:$U$137,9,FALSE))</f>
        <v/>
      </c>
      <c r="C416" s="184" t="str">
        <f t="shared" si="30"/>
        <v/>
      </c>
      <c r="D416" s="136" t="str">
        <f t="shared" si="31"/>
        <v/>
      </c>
      <c r="E416" s="148"/>
      <c r="F416" s="188" t="str">
        <f t="shared" si="32"/>
        <v/>
      </c>
      <c r="G416" s="182"/>
      <c r="H416" s="182"/>
      <c r="I416" s="182"/>
      <c r="K416" s="139" t="str">
        <f t="shared" si="33"/>
        <v/>
      </c>
      <c r="L416" s="139" t="str">
        <f t="shared" si="34"/>
        <v/>
      </c>
    </row>
    <row r="417" spans="1:12">
      <c r="A417" s="137" t="str">
        <f>IF(E417="","",VLOOKUP('Opći dio'!$C$3,'Opći dio'!$L$6:$U$137,10,FALSE))</f>
        <v/>
      </c>
      <c r="B417" s="137" t="str">
        <f>IF(E417="","",VLOOKUP('Opći dio'!$C$3,'Opći dio'!$L$6:$U$137,9,FALSE))</f>
        <v/>
      </c>
      <c r="C417" s="184" t="str">
        <f t="shared" si="30"/>
        <v/>
      </c>
      <c r="D417" s="136" t="str">
        <f t="shared" si="31"/>
        <v/>
      </c>
      <c r="E417" s="148"/>
      <c r="F417" s="188" t="str">
        <f t="shared" si="32"/>
        <v/>
      </c>
      <c r="G417" s="182"/>
      <c r="H417" s="182"/>
      <c r="I417" s="182"/>
      <c r="K417" s="139" t="str">
        <f t="shared" si="33"/>
        <v/>
      </c>
      <c r="L417" s="139" t="str">
        <f t="shared" si="34"/>
        <v/>
      </c>
    </row>
    <row r="418" spans="1:12">
      <c r="A418" s="137" t="str">
        <f>IF(E418="","",VLOOKUP('Opći dio'!$C$3,'Opći dio'!$L$6:$U$137,10,FALSE))</f>
        <v/>
      </c>
      <c r="B418" s="137" t="str">
        <f>IF(E418="","",VLOOKUP('Opći dio'!$C$3,'Opći dio'!$L$6:$U$137,9,FALSE))</f>
        <v/>
      </c>
      <c r="C418" s="184" t="str">
        <f t="shared" si="30"/>
        <v/>
      </c>
      <c r="D418" s="136" t="str">
        <f t="shared" si="31"/>
        <v/>
      </c>
      <c r="E418" s="148"/>
      <c r="F418" s="188" t="str">
        <f t="shared" si="32"/>
        <v/>
      </c>
      <c r="G418" s="182"/>
      <c r="H418" s="182"/>
      <c r="I418" s="182"/>
      <c r="K418" s="139" t="str">
        <f t="shared" si="33"/>
        <v/>
      </c>
      <c r="L418" s="139" t="str">
        <f t="shared" si="34"/>
        <v/>
      </c>
    </row>
    <row r="419" spans="1:12">
      <c r="A419" s="137" t="str">
        <f>IF(E419="","",VLOOKUP('Opći dio'!$C$3,'Opći dio'!$L$6:$U$137,10,FALSE))</f>
        <v/>
      </c>
      <c r="B419" s="137" t="str">
        <f>IF(E419="","",VLOOKUP('Opći dio'!$C$3,'Opći dio'!$L$6:$U$137,9,FALSE))</f>
        <v/>
      </c>
      <c r="C419" s="184" t="str">
        <f t="shared" si="30"/>
        <v/>
      </c>
      <c r="D419" s="136" t="str">
        <f t="shared" si="31"/>
        <v/>
      </c>
      <c r="E419" s="148"/>
      <c r="F419" s="188" t="str">
        <f t="shared" si="32"/>
        <v/>
      </c>
      <c r="G419" s="182"/>
      <c r="H419" s="182"/>
      <c r="I419" s="182"/>
      <c r="K419" s="139" t="str">
        <f t="shared" si="33"/>
        <v/>
      </c>
      <c r="L419" s="139" t="str">
        <f t="shared" si="34"/>
        <v/>
      </c>
    </row>
    <row r="420" spans="1:12">
      <c r="A420" s="137" t="str">
        <f>IF(E420="","",VLOOKUP('Opći dio'!$C$3,'Opći dio'!$L$6:$U$137,10,FALSE))</f>
        <v/>
      </c>
      <c r="B420" s="137" t="str">
        <f>IF(E420="","",VLOOKUP('Opći dio'!$C$3,'Opći dio'!$L$6:$U$137,9,FALSE))</f>
        <v/>
      </c>
      <c r="C420" s="184" t="str">
        <f t="shared" si="30"/>
        <v/>
      </c>
      <c r="D420" s="136" t="str">
        <f t="shared" si="31"/>
        <v/>
      </c>
      <c r="E420" s="148"/>
      <c r="F420" s="188" t="str">
        <f t="shared" si="32"/>
        <v/>
      </c>
      <c r="G420" s="182"/>
      <c r="H420" s="182"/>
      <c r="I420" s="182"/>
      <c r="K420" s="139" t="str">
        <f t="shared" si="33"/>
        <v/>
      </c>
      <c r="L420" s="139" t="str">
        <f t="shared" si="34"/>
        <v/>
      </c>
    </row>
    <row r="421" spans="1:12">
      <c r="A421" s="137" t="str">
        <f>IF(E421="","",VLOOKUP('Opći dio'!$C$3,'Opći dio'!$L$6:$U$137,10,FALSE))</f>
        <v/>
      </c>
      <c r="B421" s="137" t="str">
        <f>IF(E421="","",VLOOKUP('Opći dio'!$C$3,'Opći dio'!$L$6:$U$137,9,FALSE))</f>
        <v/>
      </c>
      <c r="C421" s="184" t="str">
        <f t="shared" si="30"/>
        <v/>
      </c>
      <c r="D421" s="136" t="str">
        <f t="shared" si="31"/>
        <v/>
      </c>
      <c r="E421" s="148"/>
      <c r="F421" s="188" t="str">
        <f t="shared" si="32"/>
        <v/>
      </c>
      <c r="G421" s="182"/>
      <c r="H421" s="182"/>
      <c r="I421" s="182"/>
      <c r="K421" s="139" t="str">
        <f t="shared" si="33"/>
        <v/>
      </c>
      <c r="L421" s="139" t="str">
        <f t="shared" si="34"/>
        <v/>
      </c>
    </row>
    <row r="422" spans="1:12">
      <c r="A422" s="137" t="str">
        <f>IF(E422="","",VLOOKUP('Opći dio'!$C$3,'Opći dio'!$L$6:$U$137,10,FALSE))</f>
        <v/>
      </c>
      <c r="B422" s="137" t="str">
        <f>IF(E422="","",VLOOKUP('Opći dio'!$C$3,'Opći dio'!$L$6:$U$137,9,FALSE))</f>
        <v/>
      </c>
      <c r="C422" s="184" t="str">
        <f t="shared" si="30"/>
        <v/>
      </c>
      <c r="D422" s="136" t="str">
        <f t="shared" si="31"/>
        <v/>
      </c>
      <c r="E422" s="148"/>
      <c r="F422" s="188" t="str">
        <f t="shared" si="32"/>
        <v/>
      </c>
      <c r="G422" s="182"/>
      <c r="H422" s="182"/>
      <c r="I422" s="182"/>
      <c r="K422" s="139" t="str">
        <f t="shared" si="33"/>
        <v/>
      </c>
      <c r="L422" s="139" t="str">
        <f t="shared" si="34"/>
        <v/>
      </c>
    </row>
    <row r="423" spans="1:12">
      <c r="A423" s="137" t="str">
        <f>IF(E423="","",VLOOKUP('Opći dio'!$C$3,'Opći dio'!$L$6:$U$137,10,FALSE))</f>
        <v/>
      </c>
      <c r="B423" s="137" t="str">
        <f>IF(E423="","",VLOOKUP('Opći dio'!$C$3,'Opći dio'!$L$6:$U$137,9,FALSE))</f>
        <v/>
      </c>
      <c r="C423" s="184" t="str">
        <f t="shared" si="30"/>
        <v/>
      </c>
      <c r="D423" s="136" t="str">
        <f t="shared" si="31"/>
        <v/>
      </c>
      <c r="E423" s="148"/>
      <c r="F423" s="188" t="str">
        <f t="shared" si="32"/>
        <v/>
      </c>
      <c r="G423" s="182"/>
      <c r="H423" s="182"/>
      <c r="I423" s="182"/>
      <c r="K423" s="139" t="str">
        <f t="shared" si="33"/>
        <v/>
      </c>
      <c r="L423" s="139" t="str">
        <f t="shared" si="34"/>
        <v/>
      </c>
    </row>
    <row r="424" spans="1:12">
      <c r="A424" s="137" t="str">
        <f>IF(E424="","",VLOOKUP('Opći dio'!$C$3,'Opći dio'!$L$6:$U$137,10,FALSE))</f>
        <v/>
      </c>
      <c r="B424" s="137" t="str">
        <f>IF(E424="","",VLOOKUP('Opći dio'!$C$3,'Opći dio'!$L$6:$U$137,9,FALSE))</f>
        <v/>
      </c>
      <c r="C424" s="184" t="str">
        <f t="shared" si="30"/>
        <v/>
      </c>
      <c r="D424" s="136" t="str">
        <f t="shared" si="31"/>
        <v/>
      </c>
      <c r="E424" s="148"/>
      <c r="F424" s="188" t="str">
        <f t="shared" si="32"/>
        <v/>
      </c>
      <c r="G424" s="182"/>
      <c r="H424" s="182"/>
      <c r="I424" s="182"/>
      <c r="K424" s="139" t="str">
        <f t="shared" si="33"/>
        <v/>
      </c>
      <c r="L424" s="139" t="str">
        <f t="shared" si="34"/>
        <v/>
      </c>
    </row>
    <row r="425" spans="1:12">
      <c r="A425" s="137" t="str">
        <f>IF(E425="","",VLOOKUP('Opći dio'!$C$3,'Opći dio'!$L$6:$U$137,10,FALSE))</f>
        <v/>
      </c>
      <c r="B425" s="137" t="str">
        <f>IF(E425="","",VLOOKUP('Opći dio'!$C$3,'Opći dio'!$L$6:$U$137,9,FALSE))</f>
        <v/>
      </c>
      <c r="C425" s="184" t="str">
        <f t="shared" si="30"/>
        <v/>
      </c>
      <c r="D425" s="136" t="str">
        <f t="shared" si="31"/>
        <v/>
      </c>
      <c r="E425" s="148"/>
      <c r="F425" s="188" t="str">
        <f t="shared" si="32"/>
        <v/>
      </c>
      <c r="G425" s="182"/>
      <c r="H425" s="182"/>
      <c r="I425" s="182"/>
      <c r="K425" s="139" t="str">
        <f t="shared" si="33"/>
        <v/>
      </c>
      <c r="L425" s="139" t="str">
        <f t="shared" si="34"/>
        <v/>
      </c>
    </row>
    <row r="426" spans="1:12">
      <c r="A426" s="137" t="str">
        <f>IF(E426="","",VLOOKUP('Opći dio'!$C$3,'Opći dio'!$L$6:$U$137,10,FALSE))</f>
        <v/>
      </c>
      <c r="B426" s="137" t="str">
        <f>IF(E426="","",VLOOKUP('Opći dio'!$C$3,'Opći dio'!$L$6:$U$137,9,FALSE))</f>
        <v/>
      </c>
      <c r="C426" s="184" t="str">
        <f t="shared" si="30"/>
        <v/>
      </c>
      <c r="D426" s="136" t="str">
        <f t="shared" si="31"/>
        <v/>
      </c>
      <c r="E426" s="148"/>
      <c r="F426" s="188" t="str">
        <f t="shared" si="32"/>
        <v/>
      </c>
      <c r="G426" s="182"/>
      <c r="H426" s="182"/>
      <c r="I426" s="182"/>
      <c r="K426" s="139" t="str">
        <f t="shared" si="33"/>
        <v/>
      </c>
      <c r="L426" s="139" t="str">
        <f t="shared" si="34"/>
        <v/>
      </c>
    </row>
    <row r="427" spans="1:12">
      <c r="A427" s="137" t="str">
        <f>IF(E427="","",VLOOKUP('Opći dio'!$C$3,'Opći dio'!$L$6:$U$137,10,FALSE))</f>
        <v/>
      </c>
      <c r="B427" s="137" t="str">
        <f>IF(E427="","",VLOOKUP('Opći dio'!$C$3,'Opći dio'!$L$6:$U$137,9,FALSE))</f>
        <v/>
      </c>
      <c r="C427" s="184" t="str">
        <f t="shared" si="30"/>
        <v/>
      </c>
      <c r="D427" s="136" t="str">
        <f t="shared" si="31"/>
        <v/>
      </c>
      <c r="E427" s="148"/>
      <c r="F427" s="188" t="str">
        <f t="shared" si="32"/>
        <v/>
      </c>
      <c r="G427" s="182"/>
      <c r="H427" s="182"/>
      <c r="I427" s="182"/>
      <c r="K427" s="139" t="str">
        <f t="shared" si="33"/>
        <v/>
      </c>
      <c r="L427" s="139" t="str">
        <f t="shared" si="34"/>
        <v/>
      </c>
    </row>
    <row r="428" spans="1:12">
      <c r="A428" s="137" t="str">
        <f>IF(E428="","",VLOOKUP('Opći dio'!$C$3,'Opći dio'!$L$6:$U$137,10,FALSE))</f>
        <v/>
      </c>
      <c r="B428" s="137" t="str">
        <f>IF(E428="","",VLOOKUP('Opći dio'!$C$3,'Opći dio'!$L$6:$U$137,9,FALSE))</f>
        <v/>
      </c>
      <c r="C428" s="184" t="str">
        <f t="shared" si="30"/>
        <v/>
      </c>
      <c r="D428" s="136" t="str">
        <f t="shared" si="31"/>
        <v/>
      </c>
      <c r="E428" s="148"/>
      <c r="F428" s="188" t="str">
        <f t="shared" si="32"/>
        <v/>
      </c>
      <c r="G428" s="182"/>
      <c r="H428" s="182"/>
      <c r="I428" s="182"/>
      <c r="K428" s="139" t="str">
        <f t="shared" si="33"/>
        <v/>
      </c>
      <c r="L428" s="139" t="str">
        <f t="shared" si="34"/>
        <v/>
      </c>
    </row>
    <row r="429" spans="1:12">
      <c r="A429" s="137" t="str">
        <f>IF(E429="","",VLOOKUP('Opći dio'!$C$3,'Opći dio'!$L$6:$U$137,10,FALSE))</f>
        <v/>
      </c>
      <c r="B429" s="137" t="str">
        <f>IF(E429="","",VLOOKUP('Opći dio'!$C$3,'Opći dio'!$L$6:$U$137,9,FALSE))</f>
        <v/>
      </c>
      <c r="C429" s="184" t="str">
        <f t="shared" si="30"/>
        <v/>
      </c>
      <c r="D429" s="136" t="str">
        <f t="shared" si="31"/>
        <v/>
      </c>
      <c r="E429" s="148"/>
      <c r="F429" s="188" t="str">
        <f t="shared" si="32"/>
        <v/>
      </c>
      <c r="G429" s="182"/>
      <c r="H429" s="182"/>
      <c r="I429" s="182"/>
      <c r="K429" s="139" t="str">
        <f t="shared" si="33"/>
        <v/>
      </c>
      <c r="L429" s="139" t="str">
        <f t="shared" si="34"/>
        <v/>
      </c>
    </row>
    <row r="430" spans="1:12">
      <c r="A430" s="137" t="str">
        <f>IF(E430="","",VLOOKUP('Opći dio'!$C$3,'Opći dio'!$L$6:$U$137,10,FALSE))</f>
        <v/>
      </c>
      <c r="B430" s="137" t="str">
        <f>IF(E430="","",VLOOKUP('Opći dio'!$C$3,'Opći dio'!$L$6:$U$137,9,FALSE))</f>
        <v/>
      </c>
      <c r="C430" s="184" t="str">
        <f t="shared" si="30"/>
        <v/>
      </c>
      <c r="D430" s="136" t="str">
        <f t="shared" si="31"/>
        <v/>
      </c>
      <c r="E430" s="148"/>
      <c r="F430" s="188" t="str">
        <f t="shared" si="32"/>
        <v/>
      </c>
      <c r="G430" s="182"/>
      <c r="H430" s="182"/>
      <c r="I430" s="182"/>
      <c r="K430" s="139" t="str">
        <f t="shared" si="33"/>
        <v/>
      </c>
      <c r="L430" s="139" t="str">
        <f t="shared" si="34"/>
        <v/>
      </c>
    </row>
    <row r="431" spans="1:12">
      <c r="A431" s="137" t="str">
        <f>IF(E431="","",VLOOKUP('Opći dio'!$C$3,'Opći dio'!$L$6:$U$137,10,FALSE))</f>
        <v/>
      </c>
      <c r="B431" s="137" t="str">
        <f>IF(E431="","",VLOOKUP('Opći dio'!$C$3,'Opći dio'!$L$6:$U$137,9,FALSE))</f>
        <v/>
      </c>
      <c r="C431" s="184" t="str">
        <f t="shared" si="30"/>
        <v/>
      </c>
      <c r="D431" s="136" t="str">
        <f t="shared" si="31"/>
        <v/>
      </c>
      <c r="E431" s="148"/>
      <c r="F431" s="188" t="str">
        <f t="shared" si="32"/>
        <v/>
      </c>
      <c r="G431" s="182"/>
      <c r="H431" s="182"/>
      <c r="I431" s="182"/>
      <c r="K431" s="139" t="str">
        <f t="shared" si="33"/>
        <v/>
      </c>
      <c r="L431" s="139" t="str">
        <f t="shared" si="34"/>
        <v/>
      </c>
    </row>
    <row r="432" spans="1:12">
      <c r="A432" s="137" t="str">
        <f>IF(E432="","",VLOOKUP('Opći dio'!$C$3,'Opći dio'!$L$6:$U$137,10,FALSE))</f>
        <v/>
      </c>
      <c r="B432" s="137" t="str">
        <f>IF(E432="","",VLOOKUP('Opći dio'!$C$3,'Opći dio'!$L$6:$U$137,9,FALSE))</f>
        <v/>
      </c>
      <c r="C432" s="184" t="str">
        <f t="shared" si="30"/>
        <v/>
      </c>
      <c r="D432" s="136" t="str">
        <f t="shared" si="31"/>
        <v/>
      </c>
      <c r="E432" s="148"/>
      <c r="F432" s="188" t="str">
        <f t="shared" si="32"/>
        <v/>
      </c>
      <c r="G432" s="182"/>
      <c r="H432" s="182"/>
      <c r="I432" s="182"/>
      <c r="K432" s="139" t="str">
        <f t="shared" si="33"/>
        <v/>
      </c>
      <c r="L432" s="139" t="str">
        <f t="shared" si="34"/>
        <v/>
      </c>
    </row>
    <row r="433" spans="1:12">
      <c r="A433" s="137" t="str">
        <f>IF(E433="","",VLOOKUP('Opći dio'!$C$3,'Opći dio'!$L$6:$U$137,10,FALSE))</f>
        <v/>
      </c>
      <c r="B433" s="137" t="str">
        <f>IF(E433="","",VLOOKUP('Opći dio'!$C$3,'Opći dio'!$L$6:$U$137,9,FALSE))</f>
        <v/>
      </c>
      <c r="C433" s="184" t="str">
        <f t="shared" si="30"/>
        <v/>
      </c>
      <c r="D433" s="136" t="str">
        <f t="shared" si="31"/>
        <v/>
      </c>
      <c r="E433" s="148"/>
      <c r="F433" s="188" t="str">
        <f t="shared" si="32"/>
        <v/>
      </c>
      <c r="G433" s="182"/>
      <c r="H433" s="182"/>
      <c r="I433" s="182"/>
      <c r="K433" s="139" t="str">
        <f t="shared" si="33"/>
        <v/>
      </c>
      <c r="L433" s="139" t="str">
        <f t="shared" si="34"/>
        <v/>
      </c>
    </row>
    <row r="434" spans="1:12">
      <c r="A434" s="137" t="str">
        <f>IF(E434="","",VLOOKUP('Opći dio'!$C$3,'Opći dio'!$L$6:$U$137,10,FALSE))</f>
        <v/>
      </c>
      <c r="B434" s="137" t="str">
        <f>IF(E434="","",VLOOKUP('Opći dio'!$C$3,'Opći dio'!$L$6:$U$137,9,FALSE))</f>
        <v/>
      </c>
      <c r="C434" s="184" t="str">
        <f t="shared" si="30"/>
        <v/>
      </c>
      <c r="D434" s="136" t="str">
        <f t="shared" si="31"/>
        <v/>
      </c>
      <c r="E434" s="148"/>
      <c r="F434" s="188" t="str">
        <f t="shared" si="32"/>
        <v/>
      </c>
      <c r="G434" s="182"/>
      <c r="H434" s="182"/>
      <c r="I434" s="182"/>
      <c r="K434" s="139" t="str">
        <f t="shared" si="33"/>
        <v/>
      </c>
      <c r="L434" s="139" t="str">
        <f t="shared" si="34"/>
        <v/>
      </c>
    </row>
    <row r="435" spans="1:12">
      <c r="A435" s="137" t="str">
        <f>IF(E435="","",VLOOKUP('Opći dio'!$C$3,'Opći dio'!$L$6:$U$137,10,FALSE))</f>
        <v/>
      </c>
      <c r="B435" s="137" t="str">
        <f>IF(E435="","",VLOOKUP('Opći dio'!$C$3,'Opći dio'!$L$6:$U$137,9,FALSE))</f>
        <v/>
      </c>
      <c r="C435" s="184" t="str">
        <f t="shared" si="30"/>
        <v/>
      </c>
      <c r="D435" s="136" t="str">
        <f t="shared" si="31"/>
        <v/>
      </c>
      <c r="E435" s="148"/>
      <c r="F435" s="188" t="str">
        <f t="shared" si="32"/>
        <v/>
      </c>
      <c r="G435" s="182"/>
      <c r="H435" s="182"/>
      <c r="I435" s="182"/>
      <c r="K435" s="139" t="str">
        <f t="shared" si="33"/>
        <v/>
      </c>
      <c r="L435" s="139" t="str">
        <f t="shared" si="34"/>
        <v/>
      </c>
    </row>
    <row r="436" spans="1:12">
      <c r="A436" s="137" t="str">
        <f>IF(E436="","",VLOOKUP('Opći dio'!$C$3,'Opći dio'!$L$6:$U$137,10,FALSE))</f>
        <v/>
      </c>
      <c r="B436" s="137" t="str">
        <f>IF(E436="","",VLOOKUP('Opći dio'!$C$3,'Opći dio'!$L$6:$U$137,9,FALSE))</f>
        <v/>
      </c>
      <c r="C436" s="184" t="str">
        <f t="shared" si="30"/>
        <v/>
      </c>
      <c r="D436" s="136" t="str">
        <f t="shared" si="31"/>
        <v/>
      </c>
      <c r="E436" s="148"/>
      <c r="F436" s="188" t="str">
        <f t="shared" si="32"/>
        <v/>
      </c>
      <c r="G436" s="182"/>
      <c r="H436" s="182"/>
      <c r="I436" s="182"/>
      <c r="K436" s="139" t="str">
        <f t="shared" si="33"/>
        <v/>
      </c>
      <c r="L436" s="139" t="str">
        <f t="shared" si="34"/>
        <v/>
      </c>
    </row>
    <row r="437" spans="1:12">
      <c r="A437" s="137" t="str">
        <f>IF(E437="","",VLOOKUP('Opći dio'!$C$3,'Opći dio'!$L$6:$U$137,10,FALSE))</f>
        <v/>
      </c>
      <c r="B437" s="137" t="str">
        <f>IF(E437="","",VLOOKUP('Opći dio'!$C$3,'Opći dio'!$L$6:$U$137,9,FALSE))</f>
        <v/>
      </c>
      <c r="C437" s="184" t="str">
        <f t="shared" si="30"/>
        <v/>
      </c>
      <c r="D437" s="136" t="str">
        <f t="shared" si="31"/>
        <v/>
      </c>
      <c r="E437" s="148"/>
      <c r="F437" s="188" t="str">
        <f t="shared" si="32"/>
        <v/>
      </c>
      <c r="G437" s="182"/>
      <c r="H437" s="182"/>
      <c r="I437" s="182"/>
      <c r="K437" s="139" t="str">
        <f t="shared" si="33"/>
        <v/>
      </c>
      <c r="L437" s="139" t="str">
        <f t="shared" si="34"/>
        <v/>
      </c>
    </row>
    <row r="438" spans="1:12">
      <c r="A438" s="137" t="str">
        <f>IF(E438="","",VLOOKUP('Opći dio'!$C$3,'Opći dio'!$L$6:$U$137,10,FALSE))</f>
        <v/>
      </c>
      <c r="B438" s="137" t="str">
        <f>IF(E438="","",VLOOKUP('Opći dio'!$C$3,'Opći dio'!$L$6:$U$137,9,FALSE))</f>
        <v/>
      </c>
      <c r="C438" s="184" t="str">
        <f t="shared" si="30"/>
        <v/>
      </c>
      <c r="D438" s="136" t="str">
        <f t="shared" si="31"/>
        <v/>
      </c>
      <c r="E438" s="148"/>
      <c r="F438" s="188" t="str">
        <f t="shared" si="32"/>
        <v/>
      </c>
      <c r="G438" s="182"/>
      <c r="H438" s="182"/>
      <c r="I438" s="182"/>
      <c r="K438" s="139" t="str">
        <f t="shared" si="33"/>
        <v/>
      </c>
      <c r="L438" s="139" t="str">
        <f t="shared" si="34"/>
        <v/>
      </c>
    </row>
    <row r="439" spans="1:12">
      <c r="A439" s="137" t="str">
        <f>IF(E439="","",VLOOKUP('Opći dio'!$C$3,'Opći dio'!$L$6:$U$137,10,FALSE))</f>
        <v/>
      </c>
      <c r="B439" s="137" t="str">
        <f>IF(E439="","",VLOOKUP('Opći dio'!$C$3,'Opći dio'!$L$6:$U$137,9,FALSE))</f>
        <v/>
      </c>
      <c r="C439" s="184" t="str">
        <f t="shared" si="30"/>
        <v/>
      </c>
      <c r="D439" s="136" t="str">
        <f t="shared" si="31"/>
        <v/>
      </c>
      <c r="E439" s="148"/>
      <c r="F439" s="188" t="str">
        <f t="shared" si="32"/>
        <v/>
      </c>
      <c r="G439" s="182"/>
      <c r="H439" s="182"/>
      <c r="I439" s="182"/>
      <c r="K439" s="139" t="str">
        <f t="shared" si="33"/>
        <v/>
      </c>
      <c r="L439" s="139" t="str">
        <f t="shared" si="34"/>
        <v/>
      </c>
    </row>
    <row r="440" spans="1:12">
      <c r="A440" s="137" t="str">
        <f>IF(E440="","",VLOOKUP('Opći dio'!$C$3,'Opći dio'!$L$6:$U$137,10,FALSE))</f>
        <v/>
      </c>
      <c r="B440" s="137" t="str">
        <f>IF(E440="","",VLOOKUP('Opći dio'!$C$3,'Opći dio'!$L$6:$U$137,9,FALSE))</f>
        <v/>
      </c>
      <c r="C440" s="184" t="str">
        <f t="shared" si="30"/>
        <v/>
      </c>
      <c r="D440" s="136" t="str">
        <f t="shared" si="31"/>
        <v/>
      </c>
      <c r="E440" s="148"/>
      <c r="F440" s="188" t="str">
        <f t="shared" si="32"/>
        <v/>
      </c>
      <c r="G440" s="182"/>
      <c r="H440" s="182"/>
      <c r="I440" s="182"/>
      <c r="K440" s="139" t="str">
        <f t="shared" si="33"/>
        <v/>
      </c>
      <c r="L440" s="139" t="str">
        <f t="shared" si="34"/>
        <v/>
      </c>
    </row>
    <row r="441" spans="1:12">
      <c r="A441" s="137" t="str">
        <f>IF(E441="","",VLOOKUP('Opći dio'!$C$3,'Opći dio'!$L$6:$U$137,10,FALSE))</f>
        <v/>
      </c>
      <c r="B441" s="137" t="str">
        <f>IF(E441="","",VLOOKUP('Opći dio'!$C$3,'Opći dio'!$L$6:$U$137,9,FALSE))</f>
        <v/>
      </c>
      <c r="C441" s="184" t="str">
        <f t="shared" si="30"/>
        <v/>
      </c>
      <c r="D441" s="136" t="str">
        <f t="shared" si="31"/>
        <v/>
      </c>
      <c r="E441" s="148"/>
      <c r="F441" s="188" t="str">
        <f t="shared" si="32"/>
        <v/>
      </c>
      <c r="G441" s="182"/>
      <c r="H441" s="182"/>
      <c r="I441" s="182"/>
      <c r="K441" s="139" t="str">
        <f t="shared" si="33"/>
        <v/>
      </c>
      <c r="L441" s="139" t="str">
        <f t="shared" si="34"/>
        <v/>
      </c>
    </row>
    <row r="442" spans="1:12">
      <c r="A442" s="137" t="str">
        <f>IF(E442="","",VLOOKUP('Opći dio'!$C$3,'Opći dio'!$L$6:$U$137,10,FALSE))</f>
        <v/>
      </c>
      <c r="B442" s="137" t="str">
        <f>IF(E442="","",VLOOKUP('Opći dio'!$C$3,'Opći dio'!$L$6:$U$137,9,FALSE))</f>
        <v/>
      </c>
      <c r="C442" s="184" t="str">
        <f t="shared" si="30"/>
        <v/>
      </c>
      <c r="D442" s="136" t="str">
        <f t="shared" si="31"/>
        <v/>
      </c>
      <c r="E442" s="148"/>
      <c r="F442" s="188" t="str">
        <f t="shared" si="32"/>
        <v/>
      </c>
      <c r="G442" s="182"/>
      <c r="H442" s="182"/>
      <c r="I442" s="182"/>
      <c r="K442" s="139" t="str">
        <f t="shared" si="33"/>
        <v/>
      </c>
      <c r="L442" s="139" t="str">
        <f t="shared" si="34"/>
        <v/>
      </c>
    </row>
    <row r="443" spans="1:12">
      <c r="A443" s="137" t="str">
        <f>IF(E443="","",VLOOKUP('Opći dio'!$C$3,'Opći dio'!$L$6:$U$137,10,FALSE))</f>
        <v/>
      </c>
      <c r="B443" s="137" t="str">
        <f>IF(E443="","",VLOOKUP('Opći dio'!$C$3,'Opći dio'!$L$6:$U$137,9,FALSE))</f>
        <v/>
      </c>
      <c r="C443" s="184" t="str">
        <f t="shared" si="30"/>
        <v/>
      </c>
      <c r="D443" s="136" t="str">
        <f t="shared" si="31"/>
        <v/>
      </c>
      <c r="E443" s="148"/>
      <c r="F443" s="188" t="str">
        <f t="shared" si="32"/>
        <v/>
      </c>
      <c r="G443" s="182"/>
      <c r="H443" s="182"/>
      <c r="I443" s="182"/>
      <c r="K443" s="139" t="str">
        <f t="shared" si="33"/>
        <v/>
      </c>
      <c r="L443" s="139" t="str">
        <f t="shared" si="34"/>
        <v/>
      </c>
    </row>
    <row r="444" spans="1:12">
      <c r="A444" s="137" t="str">
        <f>IF(E444="","",VLOOKUP('Opći dio'!$C$3,'Opći dio'!$L$6:$U$137,10,FALSE))</f>
        <v/>
      </c>
      <c r="B444" s="137" t="str">
        <f>IF(E444="","",VLOOKUP('Opći dio'!$C$3,'Opći dio'!$L$6:$U$137,9,FALSE))</f>
        <v/>
      </c>
      <c r="C444" s="184" t="str">
        <f t="shared" si="30"/>
        <v/>
      </c>
      <c r="D444" s="136" t="str">
        <f t="shared" si="31"/>
        <v/>
      </c>
      <c r="E444" s="148"/>
      <c r="F444" s="188" t="str">
        <f t="shared" si="32"/>
        <v/>
      </c>
      <c r="G444" s="182"/>
      <c r="H444" s="182"/>
      <c r="I444" s="182"/>
      <c r="K444" s="139" t="str">
        <f t="shared" si="33"/>
        <v/>
      </c>
      <c r="L444" s="139" t="str">
        <f t="shared" si="34"/>
        <v/>
      </c>
    </row>
    <row r="445" spans="1:12">
      <c r="A445" s="137" t="str">
        <f>IF(E445="","",VLOOKUP('Opći dio'!$C$3,'Opći dio'!$L$6:$U$137,10,FALSE))</f>
        <v/>
      </c>
      <c r="B445" s="137" t="str">
        <f>IF(E445="","",VLOOKUP('Opći dio'!$C$3,'Opći dio'!$L$6:$U$137,9,FALSE))</f>
        <v/>
      </c>
      <c r="C445" s="184" t="str">
        <f t="shared" si="30"/>
        <v/>
      </c>
      <c r="D445" s="136" t="str">
        <f t="shared" si="31"/>
        <v/>
      </c>
      <c r="E445" s="148"/>
      <c r="F445" s="188" t="str">
        <f t="shared" si="32"/>
        <v/>
      </c>
      <c r="G445" s="182"/>
      <c r="H445" s="182"/>
      <c r="I445" s="182"/>
      <c r="K445" s="139" t="str">
        <f t="shared" si="33"/>
        <v/>
      </c>
      <c r="L445" s="139" t="str">
        <f t="shared" si="34"/>
        <v/>
      </c>
    </row>
    <row r="446" spans="1:12">
      <c r="A446" s="137" t="str">
        <f>IF(E446="","",VLOOKUP('Opći dio'!$C$3,'Opći dio'!$L$6:$U$137,10,FALSE))</f>
        <v/>
      </c>
      <c r="B446" s="137" t="str">
        <f>IF(E446="","",VLOOKUP('Opći dio'!$C$3,'Opći dio'!$L$6:$U$137,9,FALSE))</f>
        <v/>
      </c>
      <c r="C446" s="184" t="str">
        <f t="shared" si="30"/>
        <v/>
      </c>
      <c r="D446" s="136" t="str">
        <f t="shared" si="31"/>
        <v/>
      </c>
      <c r="E446" s="148"/>
      <c r="F446" s="188" t="str">
        <f t="shared" si="32"/>
        <v/>
      </c>
      <c r="G446" s="182"/>
      <c r="H446" s="182"/>
      <c r="I446" s="182"/>
      <c r="K446" s="139" t="str">
        <f t="shared" si="33"/>
        <v/>
      </c>
      <c r="L446" s="139" t="str">
        <f t="shared" si="34"/>
        <v/>
      </c>
    </row>
    <row r="447" spans="1:12">
      <c r="A447" s="137" t="str">
        <f>IF(E447="","",VLOOKUP('Opći dio'!$C$3,'Opći dio'!$L$6:$U$137,10,FALSE))</f>
        <v/>
      </c>
      <c r="B447" s="137" t="str">
        <f>IF(E447="","",VLOOKUP('Opći dio'!$C$3,'Opći dio'!$L$6:$U$137,9,FALSE))</f>
        <v/>
      </c>
      <c r="C447" s="184" t="str">
        <f t="shared" si="30"/>
        <v/>
      </c>
      <c r="D447" s="136" t="str">
        <f t="shared" si="31"/>
        <v/>
      </c>
      <c r="E447" s="148"/>
      <c r="F447" s="188" t="str">
        <f t="shared" si="32"/>
        <v/>
      </c>
      <c r="G447" s="182"/>
      <c r="H447" s="182"/>
      <c r="I447" s="182"/>
      <c r="K447" s="139" t="str">
        <f t="shared" si="33"/>
        <v/>
      </c>
      <c r="L447" s="139" t="str">
        <f t="shared" si="34"/>
        <v/>
      </c>
    </row>
    <row r="448" spans="1:12">
      <c r="A448" s="137" t="str">
        <f>IF(E448="","",VLOOKUP('Opći dio'!$C$3,'Opći dio'!$L$6:$U$137,10,FALSE))</f>
        <v/>
      </c>
      <c r="B448" s="137" t="str">
        <f>IF(E448="","",VLOOKUP('Opći dio'!$C$3,'Opći dio'!$L$6:$U$137,9,FALSE))</f>
        <v/>
      </c>
      <c r="C448" s="184" t="str">
        <f t="shared" si="30"/>
        <v/>
      </c>
      <c r="D448" s="136" t="str">
        <f t="shared" si="31"/>
        <v/>
      </c>
      <c r="E448" s="148"/>
      <c r="F448" s="188" t="str">
        <f t="shared" si="32"/>
        <v/>
      </c>
      <c r="G448" s="182"/>
      <c r="H448" s="182"/>
      <c r="I448" s="182"/>
      <c r="K448" s="139" t="str">
        <f t="shared" si="33"/>
        <v/>
      </c>
      <c r="L448" s="139" t="str">
        <f t="shared" si="34"/>
        <v/>
      </c>
    </row>
    <row r="449" spans="1:12">
      <c r="A449" s="137" t="str">
        <f>IF(E449="","",VLOOKUP('Opći dio'!$C$3,'Opći dio'!$L$6:$U$137,10,FALSE))</f>
        <v/>
      </c>
      <c r="B449" s="137" t="str">
        <f>IF(E449="","",VLOOKUP('Opći dio'!$C$3,'Opći dio'!$L$6:$U$137,9,FALSE))</f>
        <v/>
      </c>
      <c r="C449" s="184" t="str">
        <f t="shared" si="30"/>
        <v/>
      </c>
      <c r="D449" s="136" t="str">
        <f t="shared" si="31"/>
        <v/>
      </c>
      <c r="E449" s="148"/>
      <c r="F449" s="188" t="str">
        <f t="shared" si="32"/>
        <v/>
      </c>
      <c r="G449" s="182"/>
      <c r="H449" s="182"/>
      <c r="I449" s="182"/>
      <c r="K449" s="139" t="str">
        <f t="shared" si="33"/>
        <v/>
      </c>
      <c r="L449" s="139" t="str">
        <f t="shared" si="34"/>
        <v/>
      </c>
    </row>
    <row r="450" spans="1:12">
      <c r="A450" s="137" t="str">
        <f>IF(E450="","",VLOOKUP('Opći dio'!$C$3,'Opći dio'!$L$6:$U$137,10,FALSE))</f>
        <v/>
      </c>
      <c r="B450" s="137" t="str">
        <f>IF(E450="","",VLOOKUP('Opći dio'!$C$3,'Opći dio'!$L$6:$U$137,9,FALSE))</f>
        <v/>
      </c>
      <c r="C450" s="184" t="str">
        <f t="shared" si="30"/>
        <v/>
      </c>
      <c r="D450" s="136" t="str">
        <f t="shared" si="31"/>
        <v/>
      </c>
      <c r="E450" s="148"/>
      <c r="F450" s="188" t="str">
        <f t="shared" si="32"/>
        <v/>
      </c>
      <c r="G450" s="182"/>
      <c r="H450" s="182"/>
      <c r="I450" s="182"/>
      <c r="K450" s="139" t="str">
        <f t="shared" si="33"/>
        <v/>
      </c>
      <c r="L450" s="139" t="str">
        <f t="shared" si="34"/>
        <v/>
      </c>
    </row>
    <row r="451" spans="1:12">
      <c r="A451" s="137" t="str">
        <f>IF(E451="","",VLOOKUP('Opći dio'!$C$3,'Opći dio'!$L$6:$U$137,10,FALSE))</f>
        <v/>
      </c>
      <c r="B451" s="137" t="str">
        <f>IF(E451="","",VLOOKUP('Opći dio'!$C$3,'Opći dio'!$L$6:$U$137,9,FALSE))</f>
        <v/>
      </c>
      <c r="C451" s="184" t="str">
        <f t="shared" si="30"/>
        <v/>
      </c>
      <c r="D451" s="136" t="str">
        <f t="shared" si="31"/>
        <v/>
      </c>
      <c r="E451" s="148"/>
      <c r="F451" s="188" t="str">
        <f t="shared" si="32"/>
        <v/>
      </c>
      <c r="G451" s="182"/>
      <c r="H451" s="182"/>
      <c r="I451" s="182"/>
      <c r="K451" s="139" t="str">
        <f t="shared" si="33"/>
        <v/>
      </c>
      <c r="L451" s="139" t="str">
        <f t="shared" si="34"/>
        <v/>
      </c>
    </row>
    <row r="452" spans="1:12">
      <c r="A452" s="137" t="str">
        <f>IF(E452="","",VLOOKUP('Opći dio'!$C$3,'Opći dio'!$L$6:$U$137,10,FALSE))</f>
        <v/>
      </c>
      <c r="B452" s="137" t="str">
        <f>IF(E452="","",VLOOKUP('Opći dio'!$C$3,'Opći dio'!$L$6:$U$137,9,FALSE))</f>
        <v/>
      </c>
      <c r="C452" s="184" t="str">
        <f t="shared" ref="C452:C501" si="35">IFERROR(VLOOKUP(E452,$Q$6:$T$105,3,FALSE),"")</f>
        <v/>
      </c>
      <c r="D452" s="136" t="str">
        <f t="shared" ref="D452:D501" si="36">IFERROR(VLOOKUP(E452,$Q$6:$T$105,4,FALSE),"")</f>
        <v/>
      </c>
      <c r="E452" s="148"/>
      <c r="F452" s="188" t="str">
        <f t="shared" ref="F452:F501" si="37">IFERROR(VLOOKUP(E452,$Q$6:$T$105,2,FALSE),"")</f>
        <v/>
      </c>
      <c r="G452" s="182"/>
      <c r="H452" s="182"/>
      <c r="I452" s="182"/>
      <c r="K452" s="139" t="str">
        <f t="shared" ref="K452:K501" si="38">LEFT(E452,3)</f>
        <v/>
      </c>
      <c r="L452" s="139" t="str">
        <f t="shared" ref="L452:L501" si="39">LEFT(E452,2)</f>
        <v/>
      </c>
    </row>
    <row r="453" spans="1:12">
      <c r="A453" s="137" t="str">
        <f>IF(E453="","",VLOOKUP('Opći dio'!$C$3,'Opći dio'!$L$6:$U$137,10,FALSE))</f>
        <v/>
      </c>
      <c r="B453" s="137" t="str">
        <f>IF(E453="","",VLOOKUP('Opći dio'!$C$3,'Opći dio'!$L$6:$U$137,9,FALSE))</f>
        <v/>
      </c>
      <c r="C453" s="184" t="str">
        <f t="shared" si="35"/>
        <v/>
      </c>
      <c r="D453" s="136" t="str">
        <f t="shared" si="36"/>
        <v/>
      </c>
      <c r="E453" s="148"/>
      <c r="F453" s="188" t="str">
        <f t="shared" si="37"/>
        <v/>
      </c>
      <c r="G453" s="182"/>
      <c r="H453" s="182"/>
      <c r="I453" s="182"/>
      <c r="K453" s="139" t="str">
        <f t="shared" si="38"/>
        <v/>
      </c>
      <c r="L453" s="139" t="str">
        <f t="shared" si="39"/>
        <v/>
      </c>
    </row>
    <row r="454" spans="1:12">
      <c r="A454" s="137" t="str">
        <f>IF(E454="","",VLOOKUP('Opći dio'!$C$3,'Opći dio'!$L$6:$U$137,10,FALSE))</f>
        <v/>
      </c>
      <c r="B454" s="137" t="str">
        <f>IF(E454="","",VLOOKUP('Opći dio'!$C$3,'Opći dio'!$L$6:$U$137,9,FALSE))</f>
        <v/>
      </c>
      <c r="C454" s="184" t="str">
        <f t="shared" si="35"/>
        <v/>
      </c>
      <c r="D454" s="136" t="str">
        <f t="shared" si="36"/>
        <v/>
      </c>
      <c r="E454" s="148"/>
      <c r="F454" s="188" t="str">
        <f t="shared" si="37"/>
        <v/>
      </c>
      <c r="G454" s="182"/>
      <c r="H454" s="182"/>
      <c r="I454" s="182"/>
      <c r="K454" s="139" t="str">
        <f t="shared" si="38"/>
        <v/>
      </c>
      <c r="L454" s="139" t="str">
        <f t="shared" si="39"/>
        <v/>
      </c>
    </row>
    <row r="455" spans="1:12">
      <c r="A455" s="137" t="str">
        <f>IF(E455="","",VLOOKUP('Opći dio'!$C$3,'Opći dio'!$L$6:$U$137,10,FALSE))</f>
        <v/>
      </c>
      <c r="B455" s="137" t="str">
        <f>IF(E455="","",VLOOKUP('Opći dio'!$C$3,'Opći dio'!$L$6:$U$137,9,FALSE))</f>
        <v/>
      </c>
      <c r="C455" s="184" t="str">
        <f t="shared" si="35"/>
        <v/>
      </c>
      <c r="D455" s="136" t="str">
        <f t="shared" si="36"/>
        <v/>
      </c>
      <c r="E455" s="148"/>
      <c r="F455" s="188" t="str">
        <f t="shared" si="37"/>
        <v/>
      </c>
      <c r="G455" s="182"/>
      <c r="H455" s="182"/>
      <c r="I455" s="182"/>
      <c r="K455" s="139" t="str">
        <f t="shared" si="38"/>
        <v/>
      </c>
      <c r="L455" s="139" t="str">
        <f t="shared" si="39"/>
        <v/>
      </c>
    </row>
    <row r="456" spans="1:12">
      <c r="A456" s="137" t="str">
        <f>IF(E456="","",VLOOKUP('Opći dio'!$C$3,'Opći dio'!$L$6:$U$137,10,FALSE))</f>
        <v/>
      </c>
      <c r="B456" s="137" t="str">
        <f>IF(E456="","",VLOOKUP('Opći dio'!$C$3,'Opći dio'!$L$6:$U$137,9,FALSE))</f>
        <v/>
      </c>
      <c r="C456" s="184" t="str">
        <f t="shared" si="35"/>
        <v/>
      </c>
      <c r="D456" s="136" t="str">
        <f t="shared" si="36"/>
        <v/>
      </c>
      <c r="E456" s="148"/>
      <c r="F456" s="188" t="str">
        <f t="shared" si="37"/>
        <v/>
      </c>
      <c r="G456" s="182"/>
      <c r="H456" s="182"/>
      <c r="I456" s="182"/>
      <c r="K456" s="139" t="str">
        <f t="shared" si="38"/>
        <v/>
      </c>
      <c r="L456" s="139" t="str">
        <f t="shared" si="39"/>
        <v/>
      </c>
    </row>
    <row r="457" spans="1:12">
      <c r="A457" s="137" t="str">
        <f>IF(E457="","",VLOOKUP('Opći dio'!$C$3,'Opći dio'!$L$6:$U$137,10,FALSE))</f>
        <v/>
      </c>
      <c r="B457" s="137" t="str">
        <f>IF(E457="","",VLOOKUP('Opći dio'!$C$3,'Opći dio'!$L$6:$U$137,9,FALSE))</f>
        <v/>
      </c>
      <c r="C457" s="184" t="str">
        <f t="shared" si="35"/>
        <v/>
      </c>
      <c r="D457" s="136" t="str">
        <f t="shared" si="36"/>
        <v/>
      </c>
      <c r="E457" s="148"/>
      <c r="F457" s="188" t="str">
        <f t="shared" si="37"/>
        <v/>
      </c>
      <c r="G457" s="182"/>
      <c r="H457" s="182"/>
      <c r="I457" s="182"/>
      <c r="K457" s="139" t="str">
        <f t="shared" si="38"/>
        <v/>
      </c>
      <c r="L457" s="139" t="str">
        <f t="shared" si="39"/>
        <v/>
      </c>
    </row>
    <row r="458" spans="1:12">
      <c r="A458" s="137" t="str">
        <f>IF(E458="","",VLOOKUP('Opći dio'!$C$3,'Opći dio'!$L$6:$U$137,10,FALSE))</f>
        <v/>
      </c>
      <c r="B458" s="137" t="str">
        <f>IF(E458="","",VLOOKUP('Opći dio'!$C$3,'Opći dio'!$L$6:$U$137,9,FALSE))</f>
        <v/>
      </c>
      <c r="C458" s="184" t="str">
        <f t="shared" si="35"/>
        <v/>
      </c>
      <c r="D458" s="136" t="str">
        <f t="shared" si="36"/>
        <v/>
      </c>
      <c r="E458" s="148"/>
      <c r="F458" s="188" t="str">
        <f t="shared" si="37"/>
        <v/>
      </c>
      <c r="G458" s="182"/>
      <c r="H458" s="182"/>
      <c r="I458" s="182"/>
      <c r="K458" s="139" t="str">
        <f t="shared" si="38"/>
        <v/>
      </c>
      <c r="L458" s="139" t="str">
        <f t="shared" si="39"/>
        <v/>
      </c>
    </row>
    <row r="459" spans="1:12">
      <c r="A459" s="137" t="str">
        <f>IF(E459="","",VLOOKUP('Opći dio'!$C$3,'Opći dio'!$L$6:$U$137,10,FALSE))</f>
        <v/>
      </c>
      <c r="B459" s="137" t="str">
        <f>IF(E459="","",VLOOKUP('Opći dio'!$C$3,'Opći dio'!$L$6:$U$137,9,FALSE))</f>
        <v/>
      </c>
      <c r="C459" s="184" t="str">
        <f t="shared" si="35"/>
        <v/>
      </c>
      <c r="D459" s="136" t="str">
        <f t="shared" si="36"/>
        <v/>
      </c>
      <c r="E459" s="148"/>
      <c r="F459" s="188" t="str">
        <f t="shared" si="37"/>
        <v/>
      </c>
      <c r="G459" s="182"/>
      <c r="H459" s="182"/>
      <c r="I459" s="182"/>
      <c r="K459" s="139" t="str">
        <f t="shared" si="38"/>
        <v/>
      </c>
      <c r="L459" s="139" t="str">
        <f t="shared" si="39"/>
        <v/>
      </c>
    </row>
    <row r="460" spans="1:12">
      <c r="A460" s="137" t="str">
        <f>IF(E460="","",VLOOKUP('Opći dio'!$C$3,'Opći dio'!$L$6:$U$137,10,FALSE))</f>
        <v/>
      </c>
      <c r="B460" s="137" t="str">
        <f>IF(E460="","",VLOOKUP('Opći dio'!$C$3,'Opći dio'!$L$6:$U$137,9,FALSE))</f>
        <v/>
      </c>
      <c r="C460" s="184" t="str">
        <f t="shared" si="35"/>
        <v/>
      </c>
      <c r="D460" s="136" t="str">
        <f t="shared" si="36"/>
        <v/>
      </c>
      <c r="E460" s="148"/>
      <c r="F460" s="188" t="str">
        <f t="shared" si="37"/>
        <v/>
      </c>
      <c r="G460" s="182"/>
      <c r="H460" s="182"/>
      <c r="I460" s="182"/>
      <c r="K460" s="139" t="str">
        <f t="shared" si="38"/>
        <v/>
      </c>
      <c r="L460" s="139" t="str">
        <f t="shared" si="39"/>
        <v/>
      </c>
    </row>
    <row r="461" spans="1:12">
      <c r="A461" s="137" t="str">
        <f>IF(E461="","",VLOOKUP('Opći dio'!$C$3,'Opći dio'!$L$6:$U$137,10,FALSE))</f>
        <v/>
      </c>
      <c r="B461" s="137" t="str">
        <f>IF(E461="","",VLOOKUP('Opći dio'!$C$3,'Opći dio'!$L$6:$U$137,9,FALSE))</f>
        <v/>
      </c>
      <c r="C461" s="184" t="str">
        <f t="shared" si="35"/>
        <v/>
      </c>
      <c r="D461" s="136" t="str">
        <f t="shared" si="36"/>
        <v/>
      </c>
      <c r="E461" s="148"/>
      <c r="F461" s="188" t="str">
        <f t="shared" si="37"/>
        <v/>
      </c>
      <c r="G461" s="182"/>
      <c r="H461" s="182"/>
      <c r="I461" s="182"/>
      <c r="K461" s="139" t="str">
        <f t="shared" si="38"/>
        <v/>
      </c>
      <c r="L461" s="139" t="str">
        <f t="shared" si="39"/>
        <v/>
      </c>
    </row>
    <row r="462" spans="1:12">
      <c r="A462" s="137" t="str">
        <f>IF(E462="","",VLOOKUP('Opći dio'!$C$3,'Opći dio'!$L$6:$U$137,10,FALSE))</f>
        <v/>
      </c>
      <c r="B462" s="137" t="str">
        <f>IF(E462="","",VLOOKUP('Opći dio'!$C$3,'Opći dio'!$L$6:$U$137,9,FALSE))</f>
        <v/>
      </c>
      <c r="C462" s="184" t="str">
        <f t="shared" si="35"/>
        <v/>
      </c>
      <c r="D462" s="136" t="str">
        <f t="shared" si="36"/>
        <v/>
      </c>
      <c r="E462" s="148"/>
      <c r="F462" s="188" t="str">
        <f t="shared" si="37"/>
        <v/>
      </c>
      <c r="G462" s="182"/>
      <c r="H462" s="182"/>
      <c r="I462" s="182"/>
      <c r="K462" s="139" t="str">
        <f t="shared" si="38"/>
        <v/>
      </c>
      <c r="L462" s="139" t="str">
        <f t="shared" si="39"/>
        <v/>
      </c>
    </row>
    <row r="463" spans="1:12">
      <c r="A463" s="137" t="str">
        <f>IF(E463="","",VLOOKUP('Opći dio'!$C$3,'Opći dio'!$L$6:$U$137,10,FALSE))</f>
        <v/>
      </c>
      <c r="B463" s="137" t="str">
        <f>IF(E463="","",VLOOKUP('Opći dio'!$C$3,'Opći dio'!$L$6:$U$137,9,FALSE))</f>
        <v/>
      </c>
      <c r="C463" s="184" t="str">
        <f t="shared" si="35"/>
        <v/>
      </c>
      <c r="D463" s="136" t="str">
        <f t="shared" si="36"/>
        <v/>
      </c>
      <c r="E463" s="148"/>
      <c r="F463" s="188" t="str">
        <f t="shared" si="37"/>
        <v/>
      </c>
      <c r="G463" s="182"/>
      <c r="H463" s="182"/>
      <c r="I463" s="182"/>
      <c r="K463" s="139" t="str">
        <f t="shared" si="38"/>
        <v/>
      </c>
      <c r="L463" s="139" t="str">
        <f t="shared" si="39"/>
        <v/>
      </c>
    </row>
    <row r="464" spans="1:12">
      <c r="A464" s="137" t="str">
        <f>IF(E464="","",VLOOKUP('Opći dio'!$C$3,'Opći dio'!$L$6:$U$137,10,FALSE))</f>
        <v/>
      </c>
      <c r="B464" s="137" t="str">
        <f>IF(E464="","",VLOOKUP('Opći dio'!$C$3,'Opći dio'!$L$6:$U$137,9,FALSE))</f>
        <v/>
      </c>
      <c r="C464" s="184" t="str">
        <f t="shared" si="35"/>
        <v/>
      </c>
      <c r="D464" s="136" t="str">
        <f t="shared" si="36"/>
        <v/>
      </c>
      <c r="E464" s="148"/>
      <c r="F464" s="188" t="str">
        <f t="shared" si="37"/>
        <v/>
      </c>
      <c r="G464" s="182"/>
      <c r="H464" s="182"/>
      <c r="I464" s="182"/>
      <c r="K464" s="139" t="str">
        <f t="shared" si="38"/>
        <v/>
      </c>
      <c r="L464" s="139" t="str">
        <f t="shared" si="39"/>
        <v/>
      </c>
    </row>
    <row r="465" spans="1:12">
      <c r="A465" s="137" t="str">
        <f>IF(E465="","",VLOOKUP('Opći dio'!$C$3,'Opći dio'!$L$6:$U$137,10,FALSE))</f>
        <v/>
      </c>
      <c r="B465" s="137" t="str">
        <f>IF(E465="","",VLOOKUP('Opći dio'!$C$3,'Opći dio'!$L$6:$U$137,9,FALSE))</f>
        <v/>
      </c>
      <c r="C465" s="184" t="str">
        <f t="shared" si="35"/>
        <v/>
      </c>
      <c r="D465" s="136" t="str">
        <f t="shared" si="36"/>
        <v/>
      </c>
      <c r="E465" s="148"/>
      <c r="F465" s="188" t="str">
        <f t="shared" si="37"/>
        <v/>
      </c>
      <c r="G465" s="182"/>
      <c r="H465" s="182"/>
      <c r="I465" s="182"/>
      <c r="K465" s="139" t="str">
        <f t="shared" si="38"/>
        <v/>
      </c>
      <c r="L465" s="139" t="str">
        <f t="shared" si="39"/>
        <v/>
      </c>
    </row>
    <row r="466" spans="1:12">
      <c r="A466" s="137" t="str">
        <f>IF(E466="","",VLOOKUP('Opći dio'!$C$3,'Opći dio'!$L$6:$U$137,10,FALSE))</f>
        <v/>
      </c>
      <c r="B466" s="137" t="str">
        <f>IF(E466="","",VLOOKUP('Opći dio'!$C$3,'Opći dio'!$L$6:$U$137,9,FALSE))</f>
        <v/>
      </c>
      <c r="C466" s="184" t="str">
        <f t="shared" si="35"/>
        <v/>
      </c>
      <c r="D466" s="136" t="str">
        <f t="shared" si="36"/>
        <v/>
      </c>
      <c r="E466" s="148"/>
      <c r="F466" s="188" t="str">
        <f t="shared" si="37"/>
        <v/>
      </c>
      <c r="G466" s="182"/>
      <c r="H466" s="182"/>
      <c r="I466" s="182"/>
      <c r="K466" s="139" t="str">
        <f t="shared" si="38"/>
        <v/>
      </c>
      <c r="L466" s="139" t="str">
        <f t="shared" si="39"/>
        <v/>
      </c>
    </row>
    <row r="467" spans="1:12">
      <c r="A467" s="137" t="str">
        <f>IF(E467="","",VLOOKUP('Opći dio'!$C$3,'Opći dio'!$L$6:$U$137,10,FALSE))</f>
        <v/>
      </c>
      <c r="B467" s="137" t="str">
        <f>IF(E467="","",VLOOKUP('Opći dio'!$C$3,'Opći dio'!$L$6:$U$137,9,FALSE))</f>
        <v/>
      </c>
      <c r="C467" s="184" t="str">
        <f t="shared" si="35"/>
        <v/>
      </c>
      <c r="D467" s="136" t="str">
        <f t="shared" si="36"/>
        <v/>
      </c>
      <c r="E467" s="148"/>
      <c r="F467" s="188" t="str">
        <f t="shared" si="37"/>
        <v/>
      </c>
      <c r="G467" s="182"/>
      <c r="H467" s="182"/>
      <c r="I467" s="182"/>
      <c r="K467" s="139" t="str">
        <f t="shared" si="38"/>
        <v/>
      </c>
      <c r="L467" s="139" t="str">
        <f t="shared" si="39"/>
        <v/>
      </c>
    </row>
    <row r="468" spans="1:12">
      <c r="A468" s="137" t="str">
        <f>IF(E468="","",VLOOKUP('Opći dio'!$C$3,'Opći dio'!$L$6:$U$137,10,FALSE))</f>
        <v/>
      </c>
      <c r="B468" s="137" t="str">
        <f>IF(E468="","",VLOOKUP('Opći dio'!$C$3,'Opći dio'!$L$6:$U$137,9,FALSE))</f>
        <v/>
      </c>
      <c r="C468" s="184" t="str">
        <f t="shared" si="35"/>
        <v/>
      </c>
      <c r="D468" s="136" t="str">
        <f t="shared" si="36"/>
        <v/>
      </c>
      <c r="E468" s="148"/>
      <c r="F468" s="188" t="str">
        <f t="shared" si="37"/>
        <v/>
      </c>
      <c r="G468" s="182"/>
      <c r="H468" s="182"/>
      <c r="I468" s="182"/>
      <c r="K468" s="139" t="str">
        <f t="shared" si="38"/>
        <v/>
      </c>
      <c r="L468" s="139" t="str">
        <f t="shared" si="39"/>
        <v/>
      </c>
    </row>
    <row r="469" spans="1:12">
      <c r="A469" s="137" t="str">
        <f>IF(E469="","",VLOOKUP('Opći dio'!$C$3,'Opći dio'!$L$6:$U$137,10,FALSE))</f>
        <v/>
      </c>
      <c r="B469" s="137" t="str">
        <f>IF(E469="","",VLOOKUP('Opći dio'!$C$3,'Opći dio'!$L$6:$U$137,9,FALSE))</f>
        <v/>
      </c>
      <c r="C469" s="184" t="str">
        <f t="shared" si="35"/>
        <v/>
      </c>
      <c r="D469" s="136" t="str">
        <f t="shared" si="36"/>
        <v/>
      </c>
      <c r="E469" s="148"/>
      <c r="F469" s="188" t="str">
        <f t="shared" si="37"/>
        <v/>
      </c>
      <c r="G469" s="182"/>
      <c r="H469" s="182"/>
      <c r="I469" s="182"/>
      <c r="K469" s="139" t="str">
        <f t="shared" si="38"/>
        <v/>
      </c>
      <c r="L469" s="139" t="str">
        <f t="shared" si="39"/>
        <v/>
      </c>
    </row>
    <row r="470" spans="1:12">
      <c r="A470" s="137" t="str">
        <f>IF(E470="","",VLOOKUP('Opći dio'!$C$3,'Opći dio'!$L$6:$U$137,10,FALSE))</f>
        <v/>
      </c>
      <c r="B470" s="137" t="str">
        <f>IF(E470="","",VLOOKUP('Opći dio'!$C$3,'Opći dio'!$L$6:$U$137,9,FALSE))</f>
        <v/>
      </c>
      <c r="C470" s="184" t="str">
        <f t="shared" si="35"/>
        <v/>
      </c>
      <c r="D470" s="136" t="str">
        <f t="shared" si="36"/>
        <v/>
      </c>
      <c r="E470" s="148"/>
      <c r="F470" s="188" t="str">
        <f t="shared" si="37"/>
        <v/>
      </c>
      <c r="G470" s="182"/>
      <c r="H470" s="182"/>
      <c r="I470" s="182"/>
      <c r="K470" s="139" t="str">
        <f t="shared" si="38"/>
        <v/>
      </c>
      <c r="L470" s="139" t="str">
        <f t="shared" si="39"/>
        <v/>
      </c>
    </row>
    <row r="471" spans="1:12">
      <c r="A471" s="137" t="str">
        <f>IF(E471="","",VLOOKUP('Opći dio'!$C$3,'Opći dio'!$L$6:$U$137,10,FALSE))</f>
        <v/>
      </c>
      <c r="B471" s="137" t="str">
        <f>IF(E471="","",VLOOKUP('Opći dio'!$C$3,'Opći dio'!$L$6:$U$137,9,FALSE))</f>
        <v/>
      </c>
      <c r="C471" s="184" t="str">
        <f t="shared" si="35"/>
        <v/>
      </c>
      <c r="D471" s="136" t="str">
        <f t="shared" si="36"/>
        <v/>
      </c>
      <c r="E471" s="148"/>
      <c r="F471" s="188" t="str">
        <f t="shared" si="37"/>
        <v/>
      </c>
      <c r="G471" s="182"/>
      <c r="H471" s="182"/>
      <c r="I471" s="182"/>
      <c r="K471" s="139" t="str">
        <f t="shared" si="38"/>
        <v/>
      </c>
      <c r="L471" s="139" t="str">
        <f t="shared" si="39"/>
        <v/>
      </c>
    </row>
    <row r="472" spans="1:12">
      <c r="A472" s="137" t="str">
        <f>IF(E472="","",VLOOKUP('Opći dio'!$C$3,'Opći dio'!$L$6:$U$137,10,FALSE))</f>
        <v/>
      </c>
      <c r="B472" s="137" t="str">
        <f>IF(E472="","",VLOOKUP('Opći dio'!$C$3,'Opći dio'!$L$6:$U$137,9,FALSE))</f>
        <v/>
      </c>
      <c r="C472" s="184" t="str">
        <f t="shared" si="35"/>
        <v/>
      </c>
      <c r="D472" s="136" t="str">
        <f t="shared" si="36"/>
        <v/>
      </c>
      <c r="E472" s="148"/>
      <c r="F472" s="188" t="str">
        <f t="shared" si="37"/>
        <v/>
      </c>
      <c r="G472" s="182"/>
      <c r="H472" s="182"/>
      <c r="I472" s="182"/>
      <c r="K472" s="139" t="str">
        <f t="shared" si="38"/>
        <v/>
      </c>
      <c r="L472" s="139" t="str">
        <f t="shared" si="39"/>
        <v/>
      </c>
    </row>
    <row r="473" spans="1:12">
      <c r="A473" s="137" t="str">
        <f>IF(E473="","",VLOOKUP('Opći dio'!$C$3,'Opći dio'!$L$6:$U$137,10,FALSE))</f>
        <v/>
      </c>
      <c r="B473" s="137" t="str">
        <f>IF(E473="","",VLOOKUP('Opći dio'!$C$3,'Opći dio'!$L$6:$U$137,9,FALSE))</f>
        <v/>
      </c>
      <c r="C473" s="184" t="str">
        <f t="shared" si="35"/>
        <v/>
      </c>
      <c r="D473" s="136" t="str">
        <f t="shared" si="36"/>
        <v/>
      </c>
      <c r="E473" s="148"/>
      <c r="F473" s="188" t="str">
        <f t="shared" si="37"/>
        <v/>
      </c>
      <c r="G473" s="182"/>
      <c r="H473" s="182"/>
      <c r="I473" s="182"/>
      <c r="K473" s="139" t="str">
        <f t="shared" si="38"/>
        <v/>
      </c>
      <c r="L473" s="139" t="str">
        <f t="shared" si="39"/>
        <v/>
      </c>
    </row>
    <row r="474" spans="1:12">
      <c r="A474" s="137" t="str">
        <f>IF(E474="","",VLOOKUP('Opći dio'!$C$3,'Opći dio'!$L$6:$U$137,10,FALSE))</f>
        <v/>
      </c>
      <c r="B474" s="137" t="str">
        <f>IF(E474="","",VLOOKUP('Opći dio'!$C$3,'Opći dio'!$L$6:$U$137,9,FALSE))</f>
        <v/>
      </c>
      <c r="C474" s="184" t="str">
        <f t="shared" si="35"/>
        <v/>
      </c>
      <c r="D474" s="136" t="str">
        <f t="shared" si="36"/>
        <v/>
      </c>
      <c r="E474" s="148"/>
      <c r="F474" s="188" t="str">
        <f t="shared" si="37"/>
        <v/>
      </c>
      <c r="G474" s="182"/>
      <c r="H474" s="182"/>
      <c r="I474" s="182"/>
      <c r="K474" s="139" t="str">
        <f t="shared" si="38"/>
        <v/>
      </c>
      <c r="L474" s="139" t="str">
        <f t="shared" si="39"/>
        <v/>
      </c>
    </row>
    <row r="475" spans="1:12">
      <c r="A475" s="137" t="str">
        <f>IF(E475="","",VLOOKUP('Opći dio'!$C$3,'Opći dio'!$L$6:$U$137,10,FALSE))</f>
        <v/>
      </c>
      <c r="B475" s="137" t="str">
        <f>IF(E475="","",VLOOKUP('Opći dio'!$C$3,'Opći dio'!$L$6:$U$137,9,FALSE))</f>
        <v/>
      </c>
      <c r="C475" s="184" t="str">
        <f t="shared" si="35"/>
        <v/>
      </c>
      <c r="D475" s="136" t="str">
        <f t="shared" si="36"/>
        <v/>
      </c>
      <c r="E475" s="148"/>
      <c r="F475" s="188" t="str">
        <f t="shared" si="37"/>
        <v/>
      </c>
      <c r="G475" s="182"/>
      <c r="H475" s="182"/>
      <c r="I475" s="182"/>
      <c r="K475" s="139" t="str">
        <f t="shared" si="38"/>
        <v/>
      </c>
      <c r="L475" s="139" t="str">
        <f t="shared" si="39"/>
        <v/>
      </c>
    </row>
    <row r="476" spans="1:12">
      <c r="A476" s="137" t="str">
        <f>IF(E476="","",VLOOKUP('Opći dio'!$C$3,'Opći dio'!$L$6:$U$137,10,FALSE))</f>
        <v/>
      </c>
      <c r="B476" s="137" t="str">
        <f>IF(E476="","",VLOOKUP('Opći dio'!$C$3,'Opći dio'!$L$6:$U$137,9,FALSE))</f>
        <v/>
      </c>
      <c r="C476" s="184" t="str">
        <f t="shared" si="35"/>
        <v/>
      </c>
      <c r="D476" s="136" t="str">
        <f t="shared" si="36"/>
        <v/>
      </c>
      <c r="E476" s="148"/>
      <c r="F476" s="188" t="str">
        <f t="shared" si="37"/>
        <v/>
      </c>
      <c r="G476" s="182"/>
      <c r="H476" s="182"/>
      <c r="I476" s="182"/>
      <c r="K476" s="139" t="str">
        <f t="shared" si="38"/>
        <v/>
      </c>
      <c r="L476" s="139" t="str">
        <f t="shared" si="39"/>
        <v/>
      </c>
    </row>
    <row r="477" spans="1:12">
      <c r="A477" s="137" t="str">
        <f>IF(E477="","",VLOOKUP('Opći dio'!$C$3,'Opći dio'!$L$6:$U$137,10,FALSE))</f>
        <v/>
      </c>
      <c r="B477" s="137" t="str">
        <f>IF(E477="","",VLOOKUP('Opći dio'!$C$3,'Opći dio'!$L$6:$U$137,9,FALSE))</f>
        <v/>
      </c>
      <c r="C477" s="184" t="str">
        <f t="shared" si="35"/>
        <v/>
      </c>
      <c r="D477" s="136" t="str">
        <f t="shared" si="36"/>
        <v/>
      </c>
      <c r="E477" s="148"/>
      <c r="F477" s="188" t="str">
        <f t="shared" si="37"/>
        <v/>
      </c>
      <c r="G477" s="182"/>
      <c r="H477" s="182"/>
      <c r="I477" s="182"/>
      <c r="K477" s="139" t="str">
        <f t="shared" si="38"/>
        <v/>
      </c>
      <c r="L477" s="139" t="str">
        <f t="shared" si="39"/>
        <v/>
      </c>
    </row>
    <row r="478" spans="1:12">
      <c r="A478" s="137" t="str">
        <f>IF(E478="","",VLOOKUP('Opći dio'!$C$3,'Opći dio'!$L$6:$U$137,10,FALSE))</f>
        <v/>
      </c>
      <c r="B478" s="137" t="str">
        <f>IF(E478="","",VLOOKUP('Opći dio'!$C$3,'Opći dio'!$L$6:$U$137,9,FALSE))</f>
        <v/>
      </c>
      <c r="C478" s="184" t="str">
        <f t="shared" si="35"/>
        <v/>
      </c>
      <c r="D478" s="136" t="str">
        <f t="shared" si="36"/>
        <v/>
      </c>
      <c r="E478" s="148"/>
      <c r="F478" s="188" t="str">
        <f t="shared" si="37"/>
        <v/>
      </c>
      <c r="G478" s="182"/>
      <c r="H478" s="182"/>
      <c r="I478" s="182"/>
      <c r="K478" s="139" t="str">
        <f t="shared" si="38"/>
        <v/>
      </c>
      <c r="L478" s="139" t="str">
        <f t="shared" si="39"/>
        <v/>
      </c>
    </row>
    <row r="479" spans="1:12">
      <c r="A479" s="137" t="str">
        <f>IF(E479="","",VLOOKUP('Opći dio'!$C$3,'Opći dio'!$L$6:$U$137,10,FALSE))</f>
        <v/>
      </c>
      <c r="B479" s="137" t="str">
        <f>IF(E479="","",VLOOKUP('Opći dio'!$C$3,'Opći dio'!$L$6:$U$137,9,FALSE))</f>
        <v/>
      </c>
      <c r="C479" s="184" t="str">
        <f t="shared" si="35"/>
        <v/>
      </c>
      <c r="D479" s="136" t="str">
        <f t="shared" si="36"/>
        <v/>
      </c>
      <c r="E479" s="148"/>
      <c r="F479" s="188" t="str">
        <f t="shared" si="37"/>
        <v/>
      </c>
      <c r="G479" s="182"/>
      <c r="H479" s="182"/>
      <c r="I479" s="182"/>
      <c r="K479" s="139" t="str">
        <f t="shared" si="38"/>
        <v/>
      </c>
      <c r="L479" s="139" t="str">
        <f t="shared" si="39"/>
        <v/>
      </c>
    </row>
    <row r="480" spans="1:12">
      <c r="A480" s="137" t="str">
        <f>IF(E480="","",VLOOKUP('Opći dio'!$C$3,'Opći dio'!$L$6:$U$137,10,FALSE))</f>
        <v/>
      </c>
      <c r="B480" s="137" t="str">
        <f>IF(E480="","",VLOOKUP('Opći dio'!$C$3,'Opći dio'!$L$6:$U$137,9,FALSE))</f>
        <v/>
      </c>
      <c r="C480" s="184" t="str">
        <f t="shared" si="35"/>
        <v/>
      </c>
      <c r="D480" s="136" t="str">
        <f t="shared" si="36"/>
        <v/>
      </c>
      <c r="E480" s="148"/>
      <c r="F480" s="188" t="str">
        <f t="shared" si="37"/>
        <v/>
      </c>
      <c r="G480" s="182"/>
      <c r="H480" s="182"/>
      <c r="I480" s="182"/>
      <c r="K480" s="139" t="str">
        <f t="shared" si="38"/>
        <v/>
      </c>
      <c r="L480" s="139" t="str">
        <f t="shared" si="39"/>
        <v/>
      </c>
    </row>
    <row r="481" spans="1:12">
      <c r="A481" s="137" t="str">
        <f>IF(E481="","",VLOOKUP('Opći dio'!$C$3,'Opći dio'!$L$6:$U$137,10,FALSE))</f>
        <v/>
      </c>
      <c r="B481" s="137" t="str">
        <f>IF(E481="","",VLOOKUP('Opći dio'!$C$3,'Opći dio'!$L$6:$U$137,9,FALSE))</f>
        <v/>
      </c>
      <c r="C481" s="184" t="str">
        <f t="shared" si="35"/>
        <v/>
      </c>
      <c r="D481" s="136" t="str">
        <f t="shared" si="36"/>
        <v/>
      </c>
      <c r="E481" s="148"/>
      <c r="F481" s="188" t="str">
        <f t="shared" si="37"/>
        <v/>
      </c>
      <c r="G481" s="182"/>
      <c r="H481" s="182"/>
      <c r="I481" s="182"/>
      <c r="K481" s="139" t="str">
        <f t="shared" si="38"/>
        <v/>
      </c>
      <c r="L481" s="139" t="str">
        <f t="shared" si="39"/>
        <v/>
      </c>
    </row>
    <row r="482" spans="1:12">
      <c r="A482" s="137" t="str">
        <f>IF(E482="","",VLOOKUP('Opći dio'!$C$3,'Opći dio'!$L$6:$U$137,10,FALSE))</f>
        <v/>
      </c>
      <c r="B482" s="137" t="str">
        <f>IF(E482="","",VLOOKUP('Opći dio'!$C$3,'Opći dio'!$L$6:$U$137,9,FALSE))</f>
        <v/>
      </c>
      <c r="C482" s="184" t="str">
        <f t="shared" si="35"/>
        <v/>
      </c>
      <c r="D482" s="136" t="str">
        <f t="shared" si="36"/>
        <v/>
      </c>
      <c r="E482" s="148"/>
      <c r="F482" s="188" t="str">
        <f t="shared" si="37"/>
        <v/>
      </c>
      <c r="G482" s="182"/>
      <c r="H482" s="182"/>
      <c r="I482" s="182"/>
      <c r="K482" s="139" t="str">
        <f t="shared" si="38"/>
        <v/>
      </c>
      <c r="L482" s="139" t="str">
        <f t="shared" si="39"/>
        <v/>
      </c>
    </row>
    <row r="483" spans="1:12">
      <c r="A483" s="137" t="str">
        <f>IF(E483="","",VLOOKUP('Opći dio'!$C$3,'Opći dio'!$L$6:$U$137,10,FALSE))</f>
        <v/>
      </c>
      <c r="B483" s="137" t="str">
        <f>IF(E483="","",VLOOKUP('Opći dio'!$C$3,'Opći dio'!$L$6:$U$137,9,FALSE))</f>
        <v/>
      </c>
      <c r="C483" s="184" t="str">
        <f t="shared" si="35"/>
        <v/>
      </c>
      <c r="D483" s="136" t="str">
        <f t="shared" si="36"/>
        <v/>
      </c>
      <c r="E483" s="148"/>
      <c r="F483" s="188" t="str">
        <f t="shared" si="37"/>
        <v/>
      </c>
      <c r="G483" s="182"/>
      <c r="H483" s="182"/>
      <c r="I483" s="182"/>
      <c r="K483" s="139" t="str">
        <f t="shared" si="38"/>
        <v/>
      </c>
      <c r="L483" s="139" t="str">
        <f t="shared" si="39"/>
        <v/>
      </c>
    </row>
    <row r="484" spans="1:12">
      <c r="A484" s="137" t="str">
        <f>IF(E484="","",VLOOKUP('Opći dio'!$C$3,'Opći dio'!$L$6:$U$137,10,FALSE))</f>
        <v/>
      </c>
      <c r="B484" s="137" t="str">
        <f>IF(E484="","",VLOOKUP('Opći dio'!$C$3,'Opći dio'!$L$6:$U$137,9,FALSE))</f>
        <v/>
      </c>
      <c r="C484" s="184" t="str">
        <f t="shared" si="35"/>
        <v/>
      </c>
      <c r="D484" s="136" t="str">
        <f t="shared" si="36"/>
        <v/>
      </c>
      <c r="E484" s="148"/>
      <c r="F484" s="188" t="str">
        <f t="shared" si="37"/>
        <v/>
      </c>
      <c r="G484" s="182"/>
      <c r="H484" s="182"/>
      <c r="I484" s="182"/>
      <c r="K484" s="139" t="str">
        <f t="shared" si="38"/>
        <v/>
      </c>
      <c r="L484" s="139" t="str">
        <f t="shared" si="39"/>
        <v/>
      </c>
    </row>
    <row r="485" spans="1:12">
      <c r="A485" s="137" t="str">
        <f>IF(E485="","",VLOOKUP('Opći dio'!$C$3,'Opći dio'!$L$6:$U$137,10,FALSE))</f>
        <v/>
      </c>
      <c r="B485" s="137" t="str">
        <f>IF(E485="","",VLOOKUP('Opći dio'!$C$3,'Opći dio'!$L$6:$U$137,9,FALSE))</f>
        <v/>
      </c>
      <c r="C485" s="184" t="str">
        <f t="shared" si="35"/>
        <v/>
      </c>
      <c r="D485" s="136" t="str">
        <f t="shared" si="36"/>
        <v/>
      </c>
      <c r="E485" s="148"/>
      <c r="F485" s="188" t="str">
        <f t="shared" si="37"/>
        <v/>
      </c>
      <c r="G485" s="182"/>
      <c r="H485" s="182"/>
      <c r="I485" s="182"/>
      <c r="K485" s="139" t="str">
        <f t="shared" si="38"/>
        <v/>
      </c>
      <c r="L485" s="139" t="str">
        <f t="shared" si="39"/>
        <v/>
      </c>
    </row>
    <row r="486" spans="1:12">
      <c r="A486" s="137" t="str">
        <f>IF(E486="","",VLOOKUP('Opći dio'!$C$3,'Opći dio'!$L$6:$U$137,10,FALSE))</f>
        <v/>
      </c>
      <c r="B486" s="137" t="str">
        <f>IF(E486="","",VLOOKUP('Opći dio'!$C$3,'Opći dio'!$L$6:$U$137,9,FALSE))</f>
        <v/>
      </c>
      <c r="C486" s="184" t="str">
        <f t="shared" si="35"/>
        <v/>
      </c>
      <c r="D486" s="136" t="str">
        <f t="shared" si="36"/>
        <v/>
      </c>
      <c r="E486" s="148"/>
      <c r="F486" s="188" t="str">
        <f t="shared" si="37"/>
        <v/>
      </c>
      <c r="G486" s="182"/>
      <c r="H486" s="182"/>
      <c r="I486" s="182"/>
      <c r="K486" s="139" t="str">
        <f t="shared" si="38"/>
        <v/>
      </c>
      <c r="L486" s="139" t="str">
        <f t="shared" si="39"/>
        <v/>
      </c>
    </row>
    <row r="487" spans="1:12">
      <c r="A487" s="137" t="str">
        <f>IF(E487="","",VLOOKUP('Opći dio'!$C$3,'Opći dio'!$L$6:$U$137,10,FALSE))</f>
        <v/>
      </c>
      <c r="B487" s="137" t="str">
        <f>IF(E487="","",VLOOKUP('Opći dio'!$C$3,'Opći dio'!$L$6:$U$137,9,FALSE))</f>
        <v/>
      </c>
      <c r="C487" s="184" t="str">
        <f t="shared" si="35"/>
        <v/>
      </c>
      <c r="D487" s="136" t="str">
        <f t="shared" si="36"/>
        <v/>
      </c>
      <c r="E487" s="148"/>
      <c r="F487" s="188" t="str">
        <f t="shared" si="37"/>
        <v/>
      </c>
      <c r="G487" s="182"/>
      <c r="H487" s="182"/>
      <c r="I487" s="182"/>
      <c r="K487" s="139" t="str">
        <f t="shared" si="38"/>
        <v/>
      </c>
      <c r="L487" s="139" t="str">
        <f t="shared" si="39"/>
        <v/>
      </c>
    </row>
    <row r="488" spans="1:12">
      <c r="A488" s="137" t="str">
        <f>IF(E488="","",VLOOKUP('Opći dio'!$C$3,'Opći dio'!$L$6:$U$137,10,FALSE))</f>
        <v/>
      </c>
      <c r="B488" s="137" t="str">
        <f>IF(E488="","",VLOOKUP('Opći dio'!$C$3,'Opći dio'!$L$6:$U$137,9,FALSE))</f>
        <v/>
      </c>
      <c r="C488" s="184" t="str">
        <f t="shared" si="35"/>
        <v/>
      </c>
      <c r="D488" s="136" t="str">
        <f t="shared" si="36"/>
        <v/>
      </c>
      <c r="E488" s="148"/>
      <c r="F488" s="188" t="str">
        <f t="shared" si="37"/>
        <v/>
      </c>
      <c r="G488" s="182"/>
      <c r="H488" s="182"/>
      <c r="I488" s="182"/>
      <c r="K488" s="139" t="str">
        <f t="shared" si="38"/>
        <v/>
      </c>
      <c r="L488" s="139" t="str">
        <f t="shared" si="39"/>
        <v/>
      </c>
    </row>
    <row r="489" spans="1:12">
      <c r="A489" s="137" t="str">
        <f>IF(E489="","",VLOOKUP('Opći dio'!$C$3,'Opći dio'!$L$6:$U$137,10,FALSE))</f>
        <v/>
      </c>
      <c r="B489" s="137" t="str">
        <f>IF(E489="","",VLOOKUP('Opći dio'!$C$3,'Opći dio'!$L$6:$U$137,9,FALSE))</f>
        <v/>
      </c>
      <c r="C489" s="184" t="str">
        <f t="shared" si="35"/>
        <v/>
      </c>
      <c r="D489" s="136" t="str">
        <f t="shared" si="36"/>
        <v/>
      </c>
      <c r="E489" s="148"/>
      <c r="F489" s="188" t="str">
        <f t="shared" si="37"/>
        <v/>
      </c>
      <c r="G489" s="182"/>
      <c r="H489" s="182"/>
      <c r="I489" s="182"/>
      <c r="K489" s="139" t="str">
        <f t="shared" si="38"/>
        <v/>
      </c>
      <c r="L489" s="139" t="str">
        <f t="shared" si="39"/>
        <v/>
      </c>
    </row>
    <row r="490" spans="1:12">
      <c r="A490" s="137" t="str">
        <f>IF(E490="","",VLOOKUP('Opći dio'!$C$3,'Opći dio'!$L$6:$U$137,10,FALSE))</f>
        <v/>
      </c>
      <c r="B490" s="137" t="str">
        <f>IF(E490="","",VLOOKUP('Opći dio'!$C$3,'Opći dio'!$L$6:$U$137,9,FALSE))</f>
        <v/>
      </c>
      <c r="C490" s="184" t="str">
        <f t="shared" si="35"/>
        <v/>
      </c>
      <c r="D490" s="136" t="str">
        <f t="shared" si="36"/>
        <v/>
      </c>
      <c r="E490" s="148"/>
      <c r="F490" s="188" t="str">
        <f t="shared" si="37"/>
        <v/>
      </c>
      <c r="G490" s="182"/>
      <c r="H490" s="182"/>
      <c r="I490" s="182"/>
      <c r="K490" s="139" t="str">
        <f t="shared" si="38"/>
        <v/>
      </c>
      <c r="L490" s="139" t="str">
        <f t="shared" si="39"/>
        <v/>
      </c>
    </row>
    <row r="491" spans="1:12">
      <c r="A491" s="137" t="str">
        <f>IF(E491="","",VLOOKUP('Opći dio'!$C$3,'Opći dio'!$L$6:$U$137,10,FALSE))</f>
        <v/>
      </c>
      <c r="B491" s="137" t="str">
        <f>IF(E491="","",VLOOKUP('Opći dio'!$C$3,'Opći dio'!$L$6:$U$137,9,FALSE))</f>
        <v/>
      </c>
      <c r="C491" s="184" t="str">
        <f t="shared" si="35"/>
        <v/>
      </c>
      <c r="D491" s="136" t="str">
        <f t="shared" si="36"/>
        <v/>
      </c>
      <c r="E491" s="148"/>
      <c r="F491" s="188" t="str">
        <f t="shared" si="37"/>
        <v/>
      </c>
      <c r="G491" s="182"/>
      <c r="H491" s="182"/>
      <c r="I491" s="182"/>
      <c r="K491" s="139" t="str">
        <f t="shared" si="38"/>
        <v/>
      </c>
      <c r="L491" s="139" t="str">
        <f t="shared" si="39"/>
        <v/>
      </c>
    </row>
    <row r="492" spans="1:12">
      <c r="A492" s="137" t="str">
        <f>IF(E492="","",VLOOKUP('Opći dio'!$C$3,'Opći dio'!$L$6:$U$137,10,FALSE))</f>
        <v/>
      </c>
      <c r="B492" s="137" t="str">
        <f>IF(E492="","",VLOOKUP('Opći dio'!$C$3,'Opći dio'!$L$6:$U$137,9,FALSE))</f>
        <v/>
      </c>
      <c r="C492" s="184" t="str">
        <f t="shared" si="35"/>
        <v/>
      </c>
      <c r="D492" s="136" t="str">
        <f t="shared" si="36"/>
        <v/>
      </c>
      <c r="E492" s="148"/>
      <c r="F492" s="188" t="str">
        <f t="shared" si="37"/>
        <v/>
      </c>
      <c r="G492" s="182"/>
      <c r="H492" s="182"/>
      <c r="I492" s="182"/>
      <c r="K492" s="139" t="str">
        <f t="shared" si="38"/>
        <v/>
      </c>
      <c r="L492" s="139" t="str">
        <f t="shared" si="39"/>
        <v/>
      </c>
    </row>
    <row r="493" spans="1:12">
      <c r="A493" s="137" t="str">
        <f>IF(E493="","",VLOOKUP('Opći dio'!$C$3,'Opći dio'!$L$6:$U$137,10,FALSE))</f>
        <v/>
      </c>
      <c r="B493" s="137" t="str">
        <f>IF(E493="","",VLOOKUP('Opći dio'!$C$3,'Opći dio'!$L$6:$U$137,9,FALSE))</f>
        <v/>
      </c>
      <c r="C493" s="184" t="str">
        <f t="shared" si="35"/>
        <v/>
      </c>
      <c r="D493" s="136" t="str">
        <f t="shared" si="36"/>
        <v/>
      </c>
      <c r="E493" s="148"/>
      <c r="F493" s="188" t="str">
        <f t="shared" si="37"/>
        <v/>
      </c>
      <c r="G493" s="182"/>
      <c r="H493" s="182"/>
      <c r="I493" s="182"/>
      <c r="K493" s="139" t="str">
        <f t="shared" si="38"/>
        <v/>
      </c>
      <c r="L493" s="139" t="str">
        <f t="shared" si="39"/>
        <v/>
      </c>
    </row>
    <row r="494" spans="1:12">
      <c r="A494" s="137" t="str">
        <f>IF(E494="","",VLOOKUP('Opći dio'!$C$3,'Opći dio'!$L$6:$U$137,10,FALSE))</f>
        <v/>
      </c>
      <c r="B494" s="137" t="str">
        <f>IF(E494="","",VLOOKUP('Opći dio'!$C$3,'Opći dio'!$L$6:$U$137,9,FALSE))</f>
        <v/>
      </c>
      <c r="C494" s="184" t="str">
        <f t="shared" si="35"/>
        <v/>
      </c>
      <c r="D494" s="136" t="str">
        <f t="shared" si="36"/>
        <v/>
      </c>
      <c r="E494" s="148"/>
      <c r="F494" s="188" t="str">
        <f t="shared" si="37"/>
        <v/>
      </c>
      <c r="G494" s="182"/>
      <c r="H494" s="182"/>
      <c r="I494" s="182"/>
      <c r="K494" s="139" t="str">
        <f t="shared" si="38"/>
        <v/>
      </c>
      <c r="L494" s="139" t="str">
        <f t="shared" si="39"/>
        <v/>
      </c>
    </row>
    <row r="495" spans="1:12">
      <c r="A495" s="137" t="str">
        <f>IF(E495="","",VLOOKUP('Opći dio'!$C$3,'Opći dio'!$L$6:$U$137,10,FALSE))</f>
        <v/>
      </c>
      <c r="B495" s="137" t="str">
        <f>IF(E495="","",VLOOKUP('Opći dio'!$C$3,'Opći dio'!$L$6:$U$137,9,FALSE))</f>
        <v/>
      </c>
      <c r="C495" s="184" t="str">
        <f t="shared" si="35"/>
        <v/>
      </c>
      <c r="D495" s="136" t="str">
        <f t="shared" si="36"/>
        <v/>
      </c>
      <c r="E495" s="148"/>
      <c r="F495" s="188" t="str">
        <f t="shared" si="37"/>
        <v/>
      </c>
      <c r="G495" s="182"/>
      <c r="H495" s="182"/>
      <c r="I495" s="182"/>
      <c r="K495" s="139" t="str">
        <f t="shared" si="38"/>
        <v/>
      </c>
      <c r="L495" s="139" t="str">
        <f t="shared" si="39"/>
        <v/>
      </c>
    </row>
    <row r="496" spans="1:12">
      <c r="A496" s="137" t="str">
        <f>IF(E496="","",VLOOKUP('Opći dio'!$C$3,'Opći dio'!$L$6:$U$137,10,FALSE))</f>
        <v/>
      </c>
      <c r="B496" s="137" t="str">
        <f>IF(E496="","",VLOOKUP('Opći dio'!$C$3,'Opći dio'!$L$6:$U$137,9,FALSE))</f>
        <v/>
      </c>
      <c r="C496" s="184" t="str">
        <f t="shared" si="35"/>
        <v/>
      </c>
      <c r="D496" s="136" t="str">
        <f t="shared" si="36"/>
        <v/>
      </c>
      <c r="E496" s="148"/>
      <c r="F496" s="188" t="str">
        <f t="shared" si="37"/>
        <v/>
      </c>
      <c r="G496" s="182"/>
      <c r="H496" s="182"/>
      <c r="I496" s="182"/>
      <c r="K496" s="139" t="str">
        <f t="shared" si="38"/>
        <v/>
      </c>
      <c r="L496" s="139" t="str">
        <f t="shared" si="39"/>
        <v/>
      </c>
    </row>
    <row r="497" spans="1:12">
      <c r="A497" s="137" t="str">
        <f>IF(E497="","",VLOOKUP('Opći dio'!$C$3,'Opći dio'!$L$6:$U$137,10,FALSE))</f>
        <v/>
      </c>
      <c r="B497" s="137" t="str">
        <f>IF(E497="","",VLOOKUP('Opći dio'!$C$3,'Opći dio'!$L$6:$U$137,9,FALSE))</f>
        <v/>
      </c>
      <c r="C497" s="184" t="str">
        <f t="shared" si="35"/>
        <v/>
      </c>
      <c r="D497" s="136" t="str">
        <f t="shared" si="36"/>
        <v/>
      </c>
      <c r="E497" s="148"/>
      <c r="F497" s="188" t="str">
        <f t="shared" si="37"/>
        <v/>
      </c>
      <c r="G497" s="182"/>
      <c r="H497" s="182"/>
      <c r="I497" s="182"/>
      <c r="K497" s="139" t="str">
        <f t="shared" si="38"/>
        <v/>
      </c>
      <c r="L497" s="139" t="str">
        <f t="shared" si="39"/>
        <v/>
      </c>
    </row>
    <row r="498" spans="1:12">
      <c r="A498" s="137" t="str">
        <f>IF(E498="","",VLOOKUP('Opći dio'!$C$3,'Opći dio'!$L$6:$U$137,10,FALSE))</f>
        <v/>
      </c>
      <c r="B498" s="137" t="str">
        <f>IF(E498="","",VLOOKUP('Opći dio'!$C$3,'Opći dio'!$L$6:$U$137,9,FALSE))</f>
        <v/>
      </c>
      <c r="C498" s="184" t="str">
        <f t="shared" si="35"/>
        <v/>
      </c>
      <c r="D498" s="136" t="str">
        <f t="shared" si="36"/>
        <v/>
      </c>
      <c r="E498" s="148"/>
      <c r="F498" s="188" t="str">
        <f t="shared" si="37"/>
        <v/>
      </c>
      <c r="G498" s="182"/>
      <c r="H498" s="182"/>
      <c r="I498" s="182"/>
      <c r="K498" s="139" t="str">
        <f t="shared" si="38"/>
        <v/>
      </c>
      <c r="L498" s="139" t="str">
        <f t="shared" si="39"/>
        <v/>
      </c>
    </row>
    <row r="499" spans="1:12">
      <c r="A499" s="137" t="str">
        <f>IF(E499="","",VLOOKUP('Opći dio'!$C$3,'Opći dio'!$L$6:$U$137,10,FALSE))</f>
        <v/>
      </c>
      <c r="B499" s="137" t="str">
        <f>IF(E499="","",VLOOKUP('Opći dio'!$C$3,'Opći dio'!$L$6:$U$137,9,FALSE))</f>
        <v/>
      </c>
      <c r="C499" s="184" t="str">
        <f t="shared" si="35"/>
        <v/>
      </c>
      <c r="D499" s="136" t="str">
        <f t="shared" si="36"/>
        <v/>
      </c>
      <c r="E499" s="148"/>
      <c r="F499" s="188" t="str">
        <f t="shared" si="37"/>
        <v/>
      </c>
      <c r="G499" s="182"/>
      <c r="H499" s="182"/>
      <c r="I499" s="182"/>
      <c r="K499" s="139" t="str">
        <f t="shared" si="38"/>
        <v/>
      </c>
      <c r="L499" s="139" t="str">
        <f t="shared" si="39"/>
        <v/>
      </c>
    </row>
    <row r="500" spans="1:12">
      <c r="A500" s="137" t="str">
        <f>IF(E500="","",VLOOKUP('Opći dio'!$C$3,'Opći dio'!$L$6:$U$137,10,FALSE))</f>
        <v/>
      </c>
      <c r="B500" s="137" t="str">
        <f>IF(E500="","",VLOOKUP('Opći dio'!$C$3,'Opći dio'!$L$6:$U$137,9,FALSE))</f>
        <v/>
      </c>
      <c r="C500" s="184" t="str">
        <f t="shared" si="35"/>
        <v/>
      </c>
      <c r="D500" s="136" t="str">
        <f t="shared" si="36"/>
        <v/>
      </c>
      <c r="E500" s="148"/>
      <c r="F500" s="188" t="str">
        <f t="shared" si="37"/>
        <v/>
      </c>
      <c r="G500" s="182"/>
      <c r="H500" s="182"/>
      <c r="I500" s="182"/>
      <c r="K500" s="139" t="str">
        <f t="shared" si="38"/>
        <v/>
      </c>
      <c r="L500" s="139" t="str">
        <f t="shared" si="39"/>
        <v/>
      </c>
    </row>
    <row r="501" spans="1:12">
      <c r="A501" s="137" t="str">
        <f>IF(E501="","",VLOOKUP('Opći dio'!$C$3,'Opći dio'!$L$6:$U$137,10,FALSE))</f>
        <v/>
      </c>
      <c r="B501" s="137" t="str">
        <f>IF(E501="","",VLOOKUP('Opći dio'!$C$3,'Opći dio'!$L$6:$U$137,9,FALSE))</f>
        <v/>
      </c>
      <c r="C501" s="184" t="str">
        <f t="shared" si="35"/>
        <v/>
      </c>
      <c r="D501" s="136" t="str">
        <f t="shared" si="36"/>
        <v/>
      </c>
      <c r="E501" s="148"/>
      <c r="F501" s="188" t="str">
        <f t="shared" si="37"/>
        <v/>
      </c>
      <c r="G501" s="182"/>
      <c r="H501" s="182"/>
      <c r="I501" s="182"/>
      <c r="K501" s="139" t="str">
        <f t="shared" si="38"/>
        <v/>
      </c>
      <c r="L501" s="139" t="str">
        <f t="shared" si="39"/>
        <v/>
      </c>
    </row>
    <row r="502" spans="1:12"/>
    <row r="503" spans="1:12" hidden="1"/>
    <row r="504" spans="1:12" hidden="1"/>
    <row r="505" spans="1:12" hidden="1"/>
    <row r="506" spans="1:12" hidden="1"/>
    <row r="507" spans="1:12" hidden="1"/>
    <row r="508" spans="1:12" hidden="1"/>
    <row r="509" spans="1:12" hidden="1"/>
    <row r="510" spans="1:12" hidden="1"/>
    <row r="511" spans="1:12" hidden="1"/>
    <row r="512" spans="1: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</sheetData>
  <sheetProtection algorithmName="SHA-512" hashValue="/6oXMCPDnVvWYma46EKltMnfjpSsHhw9VaBSt2uXYjG7J69mMa/tNtVIzcQ3teMa4n4iVuIxtqXDVIanqA5M1Q==" saltValue="Xvq4r0LnGXqDjFa8R0ISgg==" spinCount="100000" sheet="1" selectLockedCells="1"/>
  <autoFilter ref="Q5:U109"/>
  <sortState ref="Q8:U105">
    <sortCondition ref="Q8"/>
  </sortState>
  <dataConsolidate/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$Q$6:$Q$105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507"/>
  <sheetViews>
    <sheetView showGridLines="0" topLeftCell="C1" zoomScale="130" zoomScaleNormal="130" workbookViewId="0">
      <pane ySplit="2" topLeftCell="A82" activePane="bottomLeft" state="frozen"/>
      <selection pane="bottomLeft" activeCell="C97" sqref="C97"/>
    </sheetView>
  </sheetViews>
  <sheetFormatPr defaultColWidth="0" defaultRowHeight="15" zeroHeight="1"/>
  <cols>
    <col min="1" max="1" width="8.28515625" style="139" customWidth="1"/>
    <col min="2" max="2" width="20.28515625" style="139" customWidth="1"/>
    <col min="3" max="3" width="11.5703125" style="139" customWidth="1"/>
    <col min="4" max="4" width="33" style="139" customWidth="1"/>
    <col min="5" max="5" width="11.28515625" style="139" customWidth="1"/>
    <col min="6" max="6" width="21.85546875" style="139" customWidth="1"/>
    <col min="7" max="7" width="12.5703125" style="139" customWidth="1"/>
    <col min="8" max="8" width="36.7109375" style="139" customWidth="1"/>
    <col min="9" max="9" width="16.42578125" style="140" customWidth="1"/>
    <col min="10" max="10" width="15.7109375" style="140" customWidth="1"/>
    <col min="11" max="11" width="15.140625" style="140" customWidth="1"/>
    <col min="12" max="12" width="9.140625" style="139" customWidth="1"/>
    <col min="13" max="15" width="9.140625" style="139" hidden="1" customWidth="1"/>
    <col min="16" max="16" width="46.5703125" style="139" hidden="1" customWidth="1"/>
    <col min="17" max="18" width="9.140625" style="139" hidden="1" customWidth="1"/>
    <col min="19" max="19" width="58.85546875" style="139" hidden="1" customWidth="1"/>
    <col min="20" max="16384" width="9.140625" style="139" hidden="1"/>
  </cols>
  <sheetData>
    <row r="1" spans="1:25" ht="35.25" customHeight="1">
      <c r="A1" s="275" t="s">
        <v>731</v>
      </c>
      <c r="B1" s="275"/>
      <c r="C1" s="275"/>
      <c r="D1" s="275"/>
      <c r="E1" s="187" t="str">
        <f>IF('Opći dio'!C3="odaberite -","Molimo odaberite proračunskog korisnika na radnom listu Opći podaci!","")</f>
        <v/>
      </c>
    </row>
    <row r="2" spans="1:25" ht="36" customHeight="1">
      <c r="A2" s="141" t="s">
        <v>42</v>
      </c>
      <c r="B2" s="141" t="s">
        <v>43</v>
      </c>
      <c r="C2" s="146" t="s">
        <v>760</v>
      </c>
      <c r="D2" s="141" t="s">
        <v>45</v>
      </c>
      <c r="E2" s="146" t="s">
        <v>758</v>
      </c>
      <c r="F2" s="141" t="s">
        <v>759</v>
      </c>
      <c r="G2" s="146" t="s">
        <v>761</v>
      </c>
      <c r="H2" s="141" t="s">
        <v>47</v>
      </c>
      <c r="I2" s="189" t="s">
        <v>2001</v>
      </c>
      <c r="J2" s="189" t="s">
        <v>1914</v>
      </c>
      <c r="K2" s="189" t="s">
        <v>1986</v>
      </c>
      <c r="M2" s="142" t="s">
        <v>733</v>
      </c>
      <c r="N2" s="142" t="s">
        <v>734</v>
      </c>
    </row>
    <row r="3" spans="1:25">
      <c r="A3" s="143" t="str">
        <f>IF(C3="","",VLOOKUP('Opći dio'!$C$3,'Opći dio'!$L$6:$U$137,10,FALSE))</f>
        <v>08006</v>
      </c>
      <c r="B3" s="143" t="str">
        <f>IF(C3="","",VLOOKUP('Opći dio'!$C$3,'Opći dio'!$L$6:$U$137,9,FALSE))</f>
        <v>Sveučilišta i veleučilišta u Republici Hrvatskoj</v>
      </c>
      <c r="C3" s="149">
        <v>11</v>
      </c>
      <c r="D3" s="144" t="str">
        <f t="shared" ref="D3" si="0">IFERROR(VLOOKUP(C3,$O$6:$P$23,2,FALSE),"")</f>
        <v>Opći prihodi i primici</v>
      </c>
      <c r="E3" s="149">
        <v>3111</v>
      </c>
      <c r="F3" s="144" t="str">
        <f t="shared" ref="F3" si="1">IFERROR(VLOOKUP(E3,$R$5:$T$129,2,FALSE),"")</f>
        <v>Plaće za redovan rad</v>
      </c>
      <c r="G3" s="183" t="s">
        <v>65</v>
      </c>
      <c r="H3" s="144" t="str">
        <f>IFERROR(VLOOKUP(G3,$X$6:$Y$297,2,FALSE),"")</f>
        <v>REDOVNA DJELATNOST SVEUČILIŠTA U OSIJEKU</v>
      </c>
      <c r="I3" s="182">
        <v>15425880</v>
      </c>
      <c r="J3" s="182">
        <v>15427679</v>
      </c>
      <c r="K3" s="182">
        <v>15427620</v>
      </c>
      <c r="M3" s="139" t="str">
        <f>LEFT(E3,3)</f>
        <v>311</v>
      </c>
      <c r="N3" s="139" t="str">
        <f>LEFT(E3,2)</f>
        <v>31</v>
      </c>
    </row>
    <row r="4" spans="1:25">
      <c r="A4" s="143" t="str">
        <f>IF(C4="","",VLOOKUP('Opći dio'!$C$3,'Opći dio'!$L$6:$U$137,10,FALSE))</f>
        <v>08006</v>
      </c>
      <c r="B4" s="143" t="str">
        <f>IF(C4="","",VLOOKUP('Opći dio'!$C$3,'Opći dio'!$L$6:$U$137,9,FALSE))</f>
        <v>Sveučilišta i veleučilišta u Republici Hrvatskoj</v>
      </c>
      <c r="C4" s="149">
        <v>11</v>
      </c>
      <c r="D4" s="144" t="str">
        <f t="shared" ref="D4:D67" si="2">IFERROR(VLOOKUP(C4,$O$6:$P$23,2,FALSE),"")</f>
        <v>Opći prihodi i primici</v>
      </c>
      <c r="E4" s="149">
        <v>3121</v>
      </c>
      <c r="F4" s="144" t="str">
        <f t="shared" ref="F4:F67" si="3">IFERROR(VLOOKUP(E4,$R$5:$T$129,2,FALSE),"")</f>
        <v>Ostali rashodi za zaposlene</v>
      </c>
      <c r="G4" s="183" t="s">
        <v>65</v>
      </c>
      <c r="H4" s="144" t="str">
        <f t="shared" ref="H4:H67" si="4">IFERROR(VLOOKUP(G4,$X$6:$Y$297,2,FALSE),"")</f>
        <v>REDOVNA DJELATNOST SVEUČILIŠTA U OSIJEKU</v>
      </c>
      <c r="I4" s="182">
        <v>294096</v>
      </c>
      <c r="J4" s="182">
        <v>294096</v>
      </c>
      <c r="K4" s="182">
        <v>294096</v>
      </c>
      <c r="M4" s="139" t="str">
        <f t="shared" ref="M4:M67" si="5">LEFT(E4,3)</f>
        <v>312</v>
      </c>
      <c r="N4" s="139" t="str">
        <f t="shared" ref="N4:N67" si="6">LEFT(E4,2)</f>
        <v>31</v>
      </c>
      <c r="R4" s="145"/>
      <c r="S4" s="145"/>
    </row>
    <row r="5" spans="1:25">
      <c r="A5" s="143" t="str">
        <f>IF(C5="","",VLOOKUP('Opći dio'!$C$3,'Opći dio'!$L$6:$U$137,10,FALSE))</f>
        <v>08006</v>
      </c>
      <c r="B5" s="143" t="str">
        <f>IF(C5="","",VLOOKUP('Opći dio'!$C$3,'Opći dio'!$L$6:$U$137,9,FALSE))</f>
        <v>Sveučilišta i veleučilišta u Republici Hrvatskoj</v>
      </c>
      <c r="C5" s="149">
        <v>11</v>
      </c>
      <c r="D5" s="144" t="str">
        <f t="shared" si="2"/>
        <v>Opći prihodi i primici</v>
      </c>
      <c r="E5" s="149">
        <v>3132</v>
      </c>
      <c r="F5" s="144" t="str">
        <f t="shared" si="3"/>
        <v>Doprinosi za obvezno zdravstveno osiguranje</v>
      </c>
      <c r="G5" s="183" t="s">
        <v>65</v>
      </c>
      <c r="H5" s="144" t="str">
        <f t="shared" si="4"/>
        <v>REDOVNA DJELATNOST SVEUČILIŠTA U OSIJEKU</v>
      </c>
      <c r="I5" s="182">
        <v>2524300</v>
      </c>
      <c r="J5" s="182">
        <v>2524300</v>
      </c>
      <c r="K5" s="182">
        <v>2524300</v>
      </c>
      <c r="M5" s="139" t="str">
        <f t="shared" si="5"/>
        <v>313</v>
      </c>
      <c r="N5" s="139" t="str">
        <f t="shared" si="6"/>
        <v>31</v>
      </c>
      <c r="O5" s="139" t="s">
        <v>44</v>
      </c>
      <c r="P5" s="139" t="s">
        <v>45</v>
      </c>
      <c r="R5" s="139">
        <v>3111</v>
      </c>
      <c r="S5" s="139" t="s">
        <v>51</v>
      </c>
      <c r="U5" s="139" t="str">
        <f>LEFT(R5,2)</f>
        <v>31</v>
      </c>
      <c r="V5" s="139" t="str">
        <f>LEFT(R5,3)</f>
        <v>311</v>
      </c>
      <c r="X5" s="139" t="s">
        <v>46</v>
      </c>
      <c r="Y5" s="139" t="s">
        <v>47</v>
      </c>
    </row>
    <row r="6" spans="1:25">
      <c r="A6" s="143" t="str">
        <f>IF(C6="","",VLOOKUP('Opći dio'!$C$3,'Opći dio'!$L$6:$U$137,10,FALSE))</f>
        <v>08006</v>
      </c>
      <c r="B6" s="143" t="str">
        <f>IF(C6="","",VLOOKUP('Opći dio'!$C$3,'Opći dio'!$L$6:$U$137,9,FALSE))</f>
        <v>Sveučilišta i veleučilišta u Republici Hrvatskoj</v>
      </c>
      <c r="C6" s="149">
        <v>11</v>
      </c>
      <c r="D6" s="144" t="str">
        <f t="shared" si="2"/>
        <v>Opći prihodi i primici</v>
      </c>
      <c r="E6" s="149">
        <v>3212</v>
      </c>
      <c r="F6" s="144" t="str">
        <f t="shared" si="3"/>
        <v>Naknade za prijevoz, za rad na terenu i odvojeni život</v>
      </c>
      <c r="G6" s="183" t="s">
        <v>65</v>
      </c>
      <c r="H6" s="144" t="str">
        <f t="shared" si="4"/>
        <v>REDOVNA DJELATNOST SVEUČILIŠTA U OSIJEKU</v>
      </c>
      <c r="I6" s="182">
        <v>170873</v>
      </c>
      <c r="J6" s="182">
        <v>170873</v>
      </c>
      <c r="K6" s="182">
        <v>170873</v>
      </c>
      <c r="M6" s="139" t="str">
        <f t="shared" si="5"/>
        <v>321</v>
      </c>
      <c r="N6" s="139" t="str">
        <f t="shared" si="6"/>
        <v>32</v>
      </c>
      <c r="O6" s="139">
        <v>11</v>
      </c>
      <c r="P6" s="139" t="s">
        <v>50</v>
      </c>
      <c r="R6" s="139">
        <v>3112</v>
      </c>
      <c r="S6" s="139" t="s">
        <v>150</v>
      </c>
      <c r="U6" s="139" t="str">
        <f>LEFT(R6,2)</f>
        <v>31</v>
      </c>
      <c r="V6" s="139" t="str">
        <f>LEFT(R6,3)</f>
        <v>311</v>
      </c>
      <c r="X6" s="139" t="s">
        <v>1378</v>
      </c>
      <c r="Y6" s="139" t="s">
        <v>1378</v>
      </c>
    </row>
    <row r="7" spans="1:25">
      <c r="A7" s="143" t="str">
        <f>IF(C7="","",VLOOKUP('Opći dio'!$C$3,'Opći dio'!$L$6:$U$137,10,FALSE))</f>
        <v>08006</v>
      </c>
      <c r="B7" s="143" t="str">
        <f>IF(C7="","",VLOOKUP('Opći dio'!$C$3,'Opći dio'!$L$6:$U$137,9,FALSE))</f>
        <v>Sveučilišta i veleučilišta u Republici Hrvatskoj</v>
      </c>
      <c r="C7" s="149">
        <v>11</v>
      </c>
      <c r="D7" s="144" t="str">
        <f t="shared" si="2"/>
        <v>Opći prihodi i primici</v>
      </c>
      <c r="E7" s="149">
        <v>3236</v>
      </c>
      <c r="F7" s="144" t="str">
        <f t="shared" si="3"/>
        <v>Zdravstvene i veterinarske usluge</v>
      </c>
      <c r="G7" s="183" t="s">
        <v>65</v>
      </c>
      <c r="H7" s="144" t="str">
        <f t="shared" si="4"/>
        <v>REDOVNA DJELATNOST SVEUČILIŠTA U OSIJEKU</v>
      </c>
      <c r="I7" s="182">
        <v>13500</v>
      </c>
      <c r="J7" s="182">
        <v>13500</v>
      </c>
      <c r="K7" s="182">
        <v>13500</v>
      </c>
      <c r="M7" s="139" t="str">
        <f t="shared" si="5"/>
        <v>323</v>
      </c>
      <c r="N7" s="139" t="str">
        <f t="shared" si="6"/>
        <v>32</v>
      </c>
      <c r="O7" s="139">
        <v>12</v>
      </c>
      <c r="P7" s="139" t="s">
        <v>257</v>
      </c>
      <c r="R7" s="139">
        <v>3113</v>
      </c>
      <c r="S7" s="139" t="s">
        <v>129</v>
      </c>
      <c r="U7" s="139" t="str">
        <f>LEFT(R7,2)</f>
        <v>31</v>
      </c>
      <c r="V7" s="139" t="str">
        <f>LEFT(R7,3)</f>
        <v>311</v>
      </c>
      <c r="X7" t="s">
        <v>2002</v>
      </c>
      <c r="Y7" t="s">
        <v>2003</v>
      </c>
    </row>
    <row r="8" spans="1:25">
      <c r="A8" s="143" t="str">
        <f>IF(C8="","",VLOOKUP('Opći dio'!$C$3,'Opći dio'!$L$6:$U$137,10,FALSE))</f>
        <v>08006</v>
      </c>
      <c r="B8" s="143" t="str">
        <f>IF(C8="","",VLOOKUP('Opći dio'!$C$3,'Opći dio'!$L$6:$U$137,9,FALSE))</f>
        <v>Sveučilišta i veleučilišta u Republici Hrvatskoj</v>
      </c>
      <c r="C8" s="149">
        <v>11</v>
      </c>
      <c r="D8" s="144" t="str">
        <f t="shared" si="2"/>
        <v>Opći prihodi i primici</v>
      </c>
      <c r="E8" s="149">
        <v>3111</v>
      </c>
      <c r="F8" s="144" t="str">
        <f t="shared" si="3"/>
        <v>Plaće za redovan rad</v>
      </c>
      <c r="G8" s="183" t="s">
        <v>775</v>
      </c>
      <c r="H8" s="144" t="str">
        <f t="shared" si="4"/>
        <v>PROGRAMSKO FINANCIRANJE JAVNIH VISOKIH UČILIŠTA</v>
      </c>
      <c r="I8" s="182">
        <v>120000</v>
      </c>
      <c r="J8" s="182">
        <v>120000</v>
      </c>
      <c r="K8" s="182">
        <v>120000</v>
      </c>
      <c r="M8" s="139" t="str">
        <f t="shared" si="5"/>
        <v>311</v>
      </c>
      <c r="N8" s="139" t="str">
        <f t="shared" si="6"/>
        <v>31</v>
      </c>
      <c r="O8" s="139">
        <v>31</v>
      </c>
      <c r="P8" s="139" t="s">
        <v>95</v>
      </c>
      <c r="R8" s="139">
        <v>3114</v>
      </c>
      <c r="S8" s="139" t="s">
        <v>151</v>
      </c>
      <c r="U8" s="139" t="str">
        <f>LEFT(R8,2)</f>
        <v>31</v>
      </c>
      <c r="V8" s="139" t="str">
        <f>LEFT(R8,3)</f>
        <v>311</v>
      </c>
      <c r="X8" t="s">
        <v>2004</v>
      </c>
      <c r="Y8" t="s">
        <v>2005</v>
      </c>
    </row>
    <row r="9" spans="1:25">
      <c r="A9" s="143" t="str">
        <f>IF(C9="","",VLOOKUP('Opći dio'!$C$3,'Opći dio'!$L$6:$U$137,10,FALSE))</f>
        <v>08006</v>
      </c>
      <c r="B9" s="143" t="str">
        <f>IF(C9="","",VLOOKUP('Opći dio'!$C$3,'Opći dio'!$L$6:$U$137,9,FALSE))</f>
        <v>Sveučilišta i veleučilišta u Republici Hrvatskoj</v>
      </c>
      <c r="C9" s="149">
        <v>11</v>
      </c>
      <c r="D9" s="144" t="str">
        <f t="shared" si="2"/>
        <v>Opći prihodi i primici</v>
      </c>
      <c r="E9" s="149">
        <v>3132</v>
      </c>
      <c r="F9" s="144" t="str">
        <f t="shared" si="3"/>
        <v>Doprinosi za obvezno zdravstveno osiguranje</v>
      </c>
      <c r="G9" s="183" t="s">
        <v>775</v>
      </c>
      <c r="H9" s="144" t="str">
        <f t="shared" si="4"/>
        <v>PROGRAMSKO FINANCIRANJE JAVNIH VISOKIH UČILIŠTA</v>
      </c>
      <c r="I9" s="182">
        <v>20000</v>
      </c>
      <c r="J9" s="182">
        <v>20000</v>
      </c>
      <c r="K9" s="182">
        <v>20000</v>
      </c>
      <c r="M9" s="139" t="str">
        <f t="shared" si="5"/>
        <v>313</v>
      </c>
      <c r="N9" s="139" t="str">
        <f t="shared" si="6"/>
        <v>31</v>
      </c>
      <c r="O9">
        <v>41</v>
      </c>
      <c r="P9" t="s">
        <v>1353</v>
      </c>
      <c r="R9" s="139">
        <v>3121</v>
      </c>
      <c r="S9" s="139" t="s">
        <v>54</v>
      </c>
      <c r="U9" s="139" t="str">
        <f>LEFT(R9,2)</f>
        <v>31</v>
      </c>
      <c r="V9" s="139" t="str">
        <f>LEFT(R9,3)</f>
        <v>312</v>
      </c>
      <c r="X9" t="s">
        <v>2006</v>
      </c>
      <c r="Y9" t="s">
        <v>2007</v>
      </c>
    </row>
    <row r="10" spans="1:25">
      <c r="A10" s="143" t="str">
        <f>IF(C10="","",VLOOKUP('Opći dio'!$C$3,'Opći dio'!$L$6:$U$137,10,FALSE))</f>
        <v>08006</v>
      </c>
      <c r="B10" s="143" t="str">
        <f>IF(C10="","",VLOOKUP('Opći dio'!$C$3,'Opći dio'!$L$6:$U$137,9,FALSE))</f>
        <v>Sveučilišta i veleučilišta u Republici Hrvatskoj</v>
      </c>
      <c r="C10" s="149">
        <v>11</v>
      </c>
      <c r="D10" s="144" t="str">
        <f t="shared" si="2"/>
        <v>Opći prihodi i primici</v>
      </c>
      <c r="E10" s="149">
        <v>3211</v>
      </c>
      <c r="F10" s="144" t="str">
        <f t="shared" si="3"/>
        <v>Službena putovanja</v>
      </c>
      <c r="G10" s="183" t="s">
        <v>775</v>
      </c>
      <c r="H10" s="144" t="str">
        <f t="shared" si="4"/>
        <v>PROGRAMSKO FINANCIRANJE JAVNIH VISOKIH UČILIŠTA</v>
      </c>
      <c r="I10" s="182">
        <v>34000</v>
      </c>
      <c r="J10" s="182">
        <v>34000</v>
      </c>
      <c r="K10" s="182">
        <v>34000</v>
      </c>
      <c r="M10" s="139" t="str">
        <f t="shared" si="5"/>
        <v>321</v>
      </c>
      <c r="N10" s="139" t="str">
        <f t="shared" si="6"/>
        <v>32</v>
      </c>
      <c r="O10" s="139">
        <v>43</v>
      </c>
      <c r="P10" s="139" t="s">
        <v>100</v>
      </c>
      <c r="R10" s="192">
        <v>3132</v>
      </c>
      <c r="S10" s="192" t="s">
        <v>55</v>
      </c>
      <c r="T10" s="192"/>
      <c r="U10" s="192" t="str">
        <f t="shared" ref="U10:U41" si="7">LEFT(R10,2)</f>
        <v>31</v>
      </c>
      <c r="V10" s="192" t="str">
        <f t="shared" ref="V10:V41" si="8">LEFT(R10,3)</f>
        <v>313</v>
      </c>
      <c r="X10" t="s">
        <v>1819</v>
      </c>
      <c r="Y10" t="s">
        <v>1820</v>
      </c>
    </row>
    <row r="11" spans="1:25">
      <c r="A11" s="143" t="str">
        <f>IF(C11="","",VLOOKUP('Opći dio'!$C$3,'Opći dio'!$L$6:$U$137,10,FALSE))</f>
        <v>08006</v>
      </c>
      <c r="B11" s="143" t="str">
        <f>IF(C11="","",VLOOKUP('Opći dio'!$C$3,'Opći dio'!$L$6:$U$137,9,FALSE))</f>
        <v>Sveučilišta i veleučilišta u Republici Hrvatskoj</v>
      </c>
      <c r="C11" s="149">
        <v>11</v>
      </c>
      <c r="D11" s="144" t="str">
        <f t="shared" si="2"/>
        <v>Opći prihodi i primici</v>
      </c>
      <c r="E11" s="149">
        <v>3213</v>
      </c>
      <c r="F11" s="144" t="str">
        <f t="shared" si="3"/>
        <v>Stručno usavršavanje zaposlenika</v>
      </c>
      <c r="G11" s="183" t="s">
        <v>775</v>
      </c>
      <c r="H11" s="144" t="str">
        <f t="shared" si="4"/>
        <v>PROGRAMSKO FINANCIRANJE JAVNIH VISOKIH UČILIŠTA</v>
      </c>
      <c r="I11" s="182">
        <v>25000</v>
      </c>
      <c r="J11" s="182">
        <v>25000</v>
      </c>
      <c r="K11" s="182">
        <v>25000</v>
      </c>
      <c r="M11" s="139" t="str">
        <f t="shared" si="5"/>
        <v>321</v>
      </c>
      <c r="N11" s="139" t="str">
        <f t="shared" si="6"/>
        <v>32</v>
      </c>
      <c r="O11" s="139">
        <v>51</v>
      </c>
      <c r="P11" s="139" t="s">
        <v>90</v>
      </c>
      <c r="R11" s="139">
        <v>3211</v>
      </c>
      <c r="S11" s="139" t="s">
        <v>82</v>
      </c>
      <c r="U11" s="139" t="str">
        <f t="shared" si="7"/>
        <v>32</v>
      </c>
      <c r="V11" s="139" t="str">
        <f t="shared" si="8"/>
        <v>321</v>
      </c>
      <c r="X11" t="s">
        <v>1821</v>
      </c>
      <c r="Y11" t="s">
        <v>1822</v>
      </c>
    </row>
    <row r="12" spans="1:25">
      <c r="A12" s="143" t="str">
        <f>IF(C12="","",VLOOKUP('Opći dio'!$C$3,'Opći dio'!$L$6:$U$137,10,FALSE))</f>
        <v>08006</v>
      </c>
      <c r="B12" s="143" t="str">
        <f>IF(C12="","",VLOOKUP('Opći dio'!$C$3,'Opći dio'!$L$6:$U$137,9,FALSE))</f>
        <v>Sveučilišta i veleučilišta u Republici Hrvatskoj</v>
      </c>
      <c r="C12" s="149">
        <v>11</v>
      </c>
      <c r="D12" s="144" t="str">
        <f t="shared" si="2"/>
        <v>Opći prihodi i primici</v>
      </c>
      <c r="E12" s="149">
        <v>3221</v>
      </c>
      <c r="F12" s="144" t="str">
        <f t="shared" si="3"/>
        <v>Uredski materijal i ostali materijalni rashodi</v>
      </c>
      <c r="G12" s="183" t="s">
        <v>775</v>
      </c>
      <c r="H12" s="144" t="str">
        <f t="shared" si="4"/>
        <v>PROGRAMSKO FINANCIRANJE JAVNIH VISOKIH UČILIŠTA</v>
      </c>
      <c r="I12" s="182">
        <v>75000</v>
      </c>
      <c r="J12" s="182">
        <v>75000</v>
      </c>
      <c r="K12" s="182">
        <v>75000</v>
      </c>
      <c r="M12" s="139" t="str">
        <f t="shared" si="5"/>
        <v>322</v>
      </c>
      <c r="N12" s="139" t="str">
        <f t="shared" si="6"/>
        <v>32</v>
      </c>
      <c r="O12" s="139">
        <v>52</v>
      </c>
      <c r="P12" s="139" t="s">
        <v>113</v>
      </c>
      <c r="R12" s="139">
        <v>3212</v>
      </c>
      <c r="S12" s="139" t="s">
        <v>56</v>
      </c>
      <c r="U12" s="139" t="str">
        <f t="shared" si="7"/>
        <v>32</v>
      </c>
      <c r="V12" s="139" t="str">
        <f t="shared" si="8"/>
        <v>321</v>
      </c>
      <c r="X12" t="s">
        <v>2008</v>
      </c>
      <c r="Y12" t="s">
        <v>2009</v>
      </c>
    </row>
    <row r="13" spans="1:25">
      <c r="A13" s="143" t="str">
        <f>IF(C13="","",VLOOKUP('Opći dio'!$C$3,'Opći dio'!$L$6:$U$137,10,FALSE))</f>
        <v>08006</v>
      </c>
      <c r="B13" s="143" t="str">
        <f>IF(C13="","",VLOOKUP('Opći dio'!$C$3,'Opći dio'!$L$6:$U$137,9,FALSE))</f>
        <v>Sveučilišta i veleučilišta u Republici Hrvatskoj</v>
      </c>
      <c r="C13" s="149">
        <v>11</v>
      </c>
      <c r="D13" s="144" t="str">
        <f t="shared" si="2"/>
        <v>Opći prihodi i primici</v>
      </c>
      <c r="E13" s="149">
        <v>3223</v>
      </c>
      <c r="F13" s="144" t="str">
        <f t="shared" si="3"/>
        <v>Energija</v>
      </c>
      <c r="G13" s="183" t="s">
        <v>775</v>
      </c>
      <c r="H13" s="144" t="str">
        <f t="shared" si="4"/>
        <v>PROGRAMSKO FINANCIRANJE JAVNIH VISOKIH UČILIŠTA</v>
      </c>
      <c r="I13" s="182">
        <v>241000</v>
      </c>
      <c r="J13" s="182">
        <v>241000</v>
      </c>
      <c r="K13" s="182">
        <v>241000</v>
      </c>
      <c r="M13" s="139" t="str">
        <f t="shared" si="5"/>
        <v>322</v>
      </c>
      <c r="N13" s="139" t="str">
        <f t="shared" si="6"/>
        <v>32</v>
      </c>
      <c r="O13">
        <v>552</v>
      </c>
      <c r="P13" t="s">
        <v>1354</v>
      </c>
      <c r="R13" s="139">
        <v>3213</v>
      </c>
      <c r="S13" s="139" t="s">
        <v>101</v>
      </c>
      <c r="U13" s="139" t="str">
        <f t="shared" si="7"/>
        <v>32</v>
      </c>
      <c r="V13" s="139" t="str">
        <f t="shared" si="8"/>
        <v>321</v>
      </c>
      <c r="X13" t="s">
        <v>2010</v>
      </c>
      <c r="Y13" t="s">
        <v>2011</v>
      </c>
    </row>
    <row r="14" spans="1:25">
      <c r="A14" s="143" t="str">
        <f>IF(C14="","",VLOOKUP('Opći dio'!$C$3,'Opći dio'!$L$6:$U$137,10,FALSE))</f>
        <v>08006</v>
      </c>
      <c r="B14" s="143" t="str">
        <f>IF(C14="","",VLOOKUP('Opći dio'!$C$3,'Opći dio'!$L$6:$U$137,9,FALSE))</f>
        <v>Sveučilišta i veleučilišta u Republici Hrvatskoj</v>
      </c>
      <c r="C14" s="149">
        <v>11</v>
      </c>
      <c r="D14" s="144" t="str">
        <f t="shared" si="2"/>
        <v>Opći prihodi i primici</v>
      </c>
      <c r="E14" s="149">
        <v>3224</v>
      </c>
      <c r="F14" s="144" t="str">
        <f t="shared" si="3"/>
        <v>Materijal i dijelovi za tekuće i investicijsko održavanje</v>
      </c>
      <c r="G14" s="183" t="s">
        <v>775</v>
      </c>
      <c r="H14" s="144" t="str">
        <f t="shared" si="4"/>
        <v>PROGRAMSKO FINANCIRANJE JAVNIH VISOKIH UČILIŠTA</v>
      </c>
      <c r="I14" s="182">
        <v>20000</v>
      </c>
      <c r="J14" s="182">
        <v>20000</v>
      </c>
      <c r="K14" s="182">
        <v>20000</v>
      </c>
      <c r="M14" s="139" t="str">
        <f t="shared" si="5"/>
        <v>322</v>
      </c>
      <c r="N14" s="139" t="str">
        <f t="shared" si="6"/>
        <v>32</v>
      </c>
      <c r="O14">
        <v>559</v>
      </c>
      <c r="P14" t="s">
        <v>1355</v>
      </c>
      <c r="R14" s="139">
        <v>3214</v>
      </c>
      <c r="S14" s="139" t="s">
        <v>130</v>
      </c>
      <c r="U14" s="139" t="str">
        <f t="shared" si="7"/>
        <v>32</v>
      </c>
      <c r="V14" s="139" t="str">
        <f t="shared" si="8"/>
        <v>321</v>
      </c>
      <c r="X14" t="s">
        <v>2012</v>
      </c>
      <c r="Y14" t="s">
        <v>2013</v>
      </c>
    </row>
    <row r="15" spans="1:25">
      <c r="A15" s="143" t="str">
        <f>IF(C15="","",VLOOKUP('Opći dio'!$C$3,'Opći dio'!$L$6:$U$137,10,FALSE))</f>
        <v>08006</v>
      </c>
      <c r="B15" s="143" t="str">
        <f>IF(C15="","",VLOOKUP('Opći dio'!$C$3,'Opći dio'!$L$6:$U$137,9,FALSE))</f>
        <v>Sveučilišta i veleučilišta u Republici Hrvatskoj</v>
      </c>
      <c r="C15" s="149">
        <v>11</v>
      </c>
      <c r="D15" s="144" t="str">
        <f t="shared" si="2"/>
        <v>Opći prihodi i primici</v>
      </c>
      <c r="E15" s="149">
        <v>3231</v>
      </c>
      <c r="F15" s="144" t="str">
        <f t="shared" si="3"/>
        <v>Usluge telefona, pošte i prijevoza</v>
      </c>
      <c r="G15" s="183" t="s">
        <v>775</v>
      </c>
      <c r="H15" s="144" t="str">
        <f t="shared" si="4"/>
        <v>PROGRAMSKO FINANCIRANJE JAVNIH VISOKIH UČILIŠTA</v>
      </c>
      <c r="I15" s="182">
        <v>60000</v>
      </c>
      <c r="J15" s="182">
        <v>60000</v>
      </c>
      <c r="K15" s="182">
        <v>60000</v>
      </c>
      <c r="M15" s="139" t="str">
        <f t="shared" si="5"/>
        <v>323</v>
      </c>
      <c r="N15" s="139" t="str">
        <f t="shared" si="6"/>
        <v>32</v>
      </c>
      <c r="O15" s="139">
        <v>561</v>
      </c>
      <c r="P15" s="139" t="s">
        <v>115</v>
      </c>
      <c r="R15" s="139">
        <v>3221</v>
      </c>
      <c r="S15" s="139" t="s">
        <v>83</v>
      </c>
      <c r="U15" s="139" t="str">
        <f t="shared" si="7"/>
        <v>32</v>
      </c>
      <c r="V15" s="139" t="str">
        <f t="shared" si="8"/>
        <v>322</v>
      </c>
      <c r="X15" t="s">
        <v>1069</v>
      </c>
      <c r="Y15" t="s">
        <v>1070</v>
      </c>
    </row>
    <row r="16" spans="1:25">
      <c r="A16" s="143" t="str">
        <f>IF(C16="","",VLOOKUP('Opći dio'!$C$3,'Opći dio'!$L$6:$U$137,10,FALSE))</f>
        <v>08006</v>
      </c>
      <c r="B16" s="143" t="str">
        <f>IF(C16="","",VLOOKUP('Opći dio'!$C$3,'Opći dio'!$L$6:$U$137,9,FALSE))</f>
        <v>Sveučilišta i veleučilišta u Republici Hrvatskoj</v>
      </c>
      <c r="C16" s="149">
        <v>11</v>
      </c>
      <c r="D16" s="144" t="str">
        <f t="shared" si="2"/>
        <v>Opći prihodi i primici</v>
      </c>
      <c r="E16" s="149">
        <v>3234</v>
      </c>
      <c r="F16" s="144" t="str">
        <f t="shared" si="3"/>
        <v>Komunalne usluge</v>
      </c>
      <c r="G16" s="183" t="s">
        <v>775</v>
      </c>
      <c r="H16" s="144" t="str">
        <f t="shared" si="4"/>
        <v>PROGRAMSKO FINANCIRANJE JAVNIH VISOKIH UČILIŠTA</v>
      </c>
      <c r="I16" s="182">
        <v>29000</v>
      </c>
      <c r="J16" s="182">
        <v>29000</v>
      </c>
      <c r="K16" s="182">
        <v>29000</v>
      </c>
      <c r="M16" s="139" t="str">
        <f t="shared" si="5"/>
        <v>323</v>
      </c>
      <c r="N16" s="139" t="str">
        <f t="shared" si="6"/>
        <v>32</v>
      </c>
      <c r="O16" s="139">
        <v>563</v>
      </c>
      <c r="P16" s="139" t="s">
        <v>117</v>
      </c>
      <c r="R16" s="139">
        <v>3222</v>
      </c>
      <c r="S16" s="139" t="s">
        <v>104</v>
      </c>
      <c r="U16" s="139" t="str">
        <f t="shared" si="7"/>
        <v>32</v>
      </c>
      <c r="V16" s="139" t="str">
        <f t="shared" si="8"/>
        <v>322</v>
      </c>
      <c r="X16" t="s">
        <v>1823</v>
      </c>
      <c r="Y16" t="s">
        <v>1824</v>
      </c>
    </row>
    <row r="17" spans="1:25">
      <c r="A17" s="143" t="str">
        <f>IF(C17="","",VLOOKUP('Opći dio'!$C$3,'Opći dio'!$L$6:$U$137,10,FALSE))</f>
        <v>08006</v>
      </c>
      <c r="B17" s="143" t="str">
        <f>IF(C17="","",VLOOKUP('Opći dio'!$C$3,'Opći dio'!$L$6:$U$137,9,FALSE))</f>
        <v>Sveučilišta i veleučilišta u Republici Hrvatskoj</v>
      </c>
      <c r="C17" s="149">
        <v>11</v>
      </c>
      <c r="D17" s="144" t="str">
        <f t="shared" si="2"/>
        <v>Opći prihodi i primici</v>
      </c>
      <c r="E17" s="149">
        <v>3235</v>
      </c>
      <c r="F17" s="144" t="str">
        <f t="shared" si="3"/>
        <v>Zakupnine i najamnine</v>
      </c>
      <c r="G17" s="183" t="s">
        <v>775</v>
      </c>
      <c r="H17" s="144" t="str">
        <f t="shared" si="4"/>
        <v>PROGRAMSKO FINANCIRANJE JAVNIH VISOKIH UČILIŠTA</v>
      </c>
      <c r="I17" s="182">
        <v>153000</v>
      </c>
      <c r="J17" s="182">
        <v>153000</v>
      </c>
      <c r="K17" s="182">
        <v>153000</v>
      </c>
      <c r="M17" s="139" t="str">
        <f t="shared" si="5"/>
        <v>323</v>
      </c>
      <c r="N17" s="139" t="str">
        <f t="shared" si="6"/>
        <v>32</v>
      </c>
      <c r="O17" s="139">
        <v>573</v>
      </c>
      <c r="P17" t="s">
        <v>1365</v>
      </c>
      <c r="R17" s="139">
        <v>3223</v>
      </c>
      <c r="S17" s="139" t="s">
        <v>92</v>
      </c>
      <c r="U17" s="139" t="str">
        <f t="shared" si="7"/>
        <v>32</v>
      </c>
      <c r="V17" s="139" t="str">
        <f t="shared" si="8"/>
        <v>322</v>
      </c>
      <c r="X17" t="s">
        <v>1071</v>
      </c>
      <c r="Y17" t="s">
        <v>1072</v>
      </c>
    </row>
    <row r="18" spans="1:25">
      <c r="A18" s="143" t="str">
        <f>IF(C18="","",VLOOKUP('Opći dio'!$C$3,'Opći dio'!$L$6:$U$137,10,FALSE))</f>
        <v>08006</v>
      </c>
      <c r="B18" s="143" t="str">
        <f>IF(C18="","",VLOOKUP('Opći dio'!$C$3,'Opći dio'!$L$6:$U$137,9,FALSE))</f>
        <v>Sveučilišta i veleučilišta u Republici Hrvatskoj</v>
      </c>
      <c r="C18" s="149">
        <v>11</v>
      </c>
      <c r="D18" s="144" t="str">
        <f t="shared" si="2"/>
        <v>Opći prihodi i primici</v>
      </c>
      <c r="E18" s="149">
        <v>3237</v>
      </c>
      <c r="F18" s="144" t="str">
        <f t="shared" si="3"/>
        <v>Intelektualne i osobne usluge</v>
      </c>
      <c r="G18" s="183" t="s">
        <v>775</v>
      </c>
      <c r="H18" s="144" t="str">
        <f t="shared" si="4"/>
        <v>PROGRAMSKO FINANCIRANJE JAVNIH VISOKIH UČILIŠTA</v>
      </c>
      <c r="I18" s="182">
        <v>203941</v>
      </c>
      <c r="J18" s="182">
        <v>299711</v>
      </c>
      <c r="K18" s="182">
        <v>299711</v>
      </c>
      <c r="M18" s="139" t="str">
        <f t="shared" si="5"/>
        <v>323</v>
      </c>
      <c r="N18" s="139" t="str">
        <f t="shared" si="6"/>
        <v>32</v>
      </c>
      <c r="O18">
        <v>575</v>
      </c>
      <c r="P18" t="s">
        <v>1367</v>
      </c>
      <c r="R18" s="139">
        <v>3224</v>
      </c>
      <c r="S18" s="139" t="s">
        <v>97</v>
      </c>
      <c r="U18" s="139" t="str">
        <f t="shared" si="7"/>
        <v>32</v>
      </c>
      <c r="V18" s="139" t="str">
        <f t="shared" si="8"/>
        <v>322</v>
      </c>
      <c r="X18" t="s">
        <v>2014</v>
      </c>
      <c r="Y18" t="s">
        <v>2015</v>
      </c>
    </row>
    <row r="19" spans="1:25">
      <c r="A19" s="143" t="str">
        <f>IF(C19="","",VLOOKUP('Opći dio'!$C$3,'Opći dio'!$L$6:$U$137,10,FALSE))</f>
        <v>08006</v>
      </c>
      <c r="B19" s="143" t="str">
        <f>IF(C19="","",VLOOKUP('Opći dio'!$C$3,'Opći dio'!$L$6:$U$137,9,FALSE))</f>
        <v>Sveučilišta i veleučilišta u Republici Hrvatskoj</v>
      </c>
      <c r="C19" s="149">
        <v>11</v>
      </c>
      <c r="D19" s="144" t="str">
        <f t="shared" si="2"/>
        <v>Opći prihodi i primici</v>
      </c>
      <c r="E19" s="149">
        <v>3238</v>
      </c>
      <c r="F19" s="144" t="str">
        <f t="shared" si="3"/>
        <v>Računalne usluge</v>
      </c>
      <c r="G19" s="183" t="s">
        <v>775</v>
      </c>
      <c r="H19" s="144" t="str">
        <f t="shared" si="4"/>
        <v>PROGRAMSKO FINANCIRANJE JAVNIH VISOKIH UČILIŠTA</v>
      </c>
      <c r="I19" s="182">
        <v>35000</v>
      </c>
      <c r="J19" s="182">
        <v>35000</v>
      </c>
      <c r="K19" s="182">
        <v>35000</v>
      </c>
      <c r="M19" s="139" t="str">
        <f t="shared" si="5"/>
        <v>323</v>
      </c>
      <c r="N19" s="139" t="str">
        <f t="shared" si="6"/>
        <v>32</v>
      </c>
      <c r="O19" s="203">
        <v>576</v>
      </c>
      <c r="P19" s="239" t="s">
        <v>1904</v>
      </c>
      <c r="R19" s="139">
        <v>3225</v>
      </c>
      <c r="S19" s="139" t="s">
        <v>105</v>
      </c>
      <c r="U19" s="139" t="str">
        <f t="shared" si="7"/>
        <v>32</v>
      </c>
      <c r="V19" s="139" t="str">
        <f t="shared" si="8"/>
        <v>322</v>
      </c>
      <c r="X19" t="s">
        <v>1825</v>
      </c>
      <c r="Y19" t="s">
        <v>1826</v>
      </c>
    </row>
    <row r="20" spans="1:25">
      <c r="A20" s="143" t="str">
        <f>IF(C20="","",VLOOKUP('Opći dio'!$C$3,'Opći dio'!$L$6:$U$137,10,FALSE))</f>
        <v>08006</v>
      </c>
      <c r="B20" s="143" t="str">
        <f>IF(C20="","",VLOOKUP('Opći dio'!$C$3,'Opći dio'!$L$6:$U$137,9,FALSE))</f>
        <v>Sveučilišta i veleučilišta u Republici Hrvatskoj</v>
      </c>
      <c r="C20" s="149">
        <v>11</v>
      </c>
      <c r="D20" s="144" t="str">
        <f t="shared" si="2"/>
        <v>Opći prihodi i primici</v>
      </c>
      <c r="E20" s="149">
        <v>3239</v>
      </c>
      <c r="F20" s="144" t="str">
        <f t="shared" si="3"/>
        <v>Ostale usluge</v>
      </c>
      <c r="G20" s="183" t="s">
        <v>775</v>
      </c>
      <c r="H20" s="144" t="str">
        <f t="shared" si="4"/>
        <v>PROGRAMSKO FINANCIRANJE JAVNIH VISOKIH UČILIŠTA</v>
      </c>
      <c r="I20" s="182">
        <v>54000</v>
      </c>
      <c r="J20" s="182">
        <v>54000</v>
      </c>
      <c r="K20" s="182">
        <v>54000</v>
      </c>
      <c r="M20" s="139" t="str">
        <f t="shared" si="5"/>
        <v>323</v>
      </c>
      <c r="N20" s="139" t="str">
        <f t="shared" si="6"/>
        <v>32</v>
      </c>
      <c r="O20" s="210">
        <v>581</v>
      </c>
      <c r="P20" s="211" t="s">
        <v>1988</v>
      </c>
      <c r="R20" s="139">
        <v>3226</v>
      </c>
      <c r="S20" s="139" t="s">
        <v>179</v>
      </c>
      <c r="U20" s="139" t="str">
        <f t="shared" si="7"/>
        <v>32</v>
      </c>
      <c r="V20" s="139" t="str">
        <f t="shared" si="8"/>
        <v>322</v>
      </c>
      <c r="X20" t="s">
        <v>2016</v>
      </c>
      <c r="Y20" t="s">
        <v>2017</v>
      </c>
    </row>
    <row r="21" spans="1:25">
      <c r="A21" s="143" t="str">
        <f>IF(C21="","",VLOOKUP('Opći dio'!$C$3,'Opći dio'!$L$6:$U$137,10,FALSE))</f>
        <v>08006</v>
      </c>
      <c r="B21" s="143" t="str">
        <f>IF(C21="","",VLOOKUP('Opći dio'!$C$3,'Opći dio'!$L$6:$U$137,9,FALSE))</f>
        <v>Sveučilišta i veleučilišta u Republici Hrvatskoj</v>
      </c>
      <c r="C21" s="149">
        <v>11</v>
      </c>
      <c r="D21" s="144" t="str">
        <f t="shared" si="2"/>
        <v>Opći prihodi i primici</v>
      </c>
      <c r="E21" s="149">
        <v>3241</v>
      </c>
      <c r="F21" s="144" t="str">
        <f t="shared" si="3"/>
        <v>Naknade troškova osobama izvan radnog odnosa</v>
      </c>
      <c r="G21" s="183" t="s">
        <v>775</v>
      </c>
      <c r="H21" s="144" t="str">
        <f t="shared" si="4"/>
        <v>PROGRAMSKO FINANCIRANJE JAVNIH VISOKIH UČILIŠTA</v>
      </c>
      <c r="I21" s="182">
        <v>30000</v>
      </c>
      <c r="J21" s="182">
        <v>30000</v>
      </c>
      <c r="K21" s="182">
        <v>30000</v>
      </c>
      <c r="M21" s="139" t="str">
        <f t="shared" si="5"/>
        <v>324</v>
      </c>
      <c r="N21" s="139" t="str">
        <f t="shared" si="6"/>
        <v>32</v>
      </c>
      <c r="O21" s="139">
        <v>61</v>
      </c>
      <c r="P21" s="139" t="s">
        <v>119</v>
      </c>
      <c r="R21" s="139">
        <v>3227</v>
      </c>
      <c r="S21" s="139" t="s">
        <v>122</v>
      </c>
      <c r="U21" s="139" t="str">
        <f t="shared" si="7"/>
        <v>32</v>
      </c>
      <c r="V21" s="139" t="str">
        <f t="shared" si="8"/>
        <v>322</v>
      </c>
      <c r="X21" t="s">
        <v>2018</v>
      </c>
      <c r="Y21" t="s">
        <v>2019</v>
      </c>
    </row>
    <row r="22" spans="1:25">
      <c r="A22" s="143" t="str">
        <f>IF(C22="","",VLOOKUP('Opći dio'!$C$3,'Opći dio'!$L$6:$U$137,10,FALSE))</f>
        <v>08006</v>
      </c>
      <c r="B22" s="143" t="str">
        <f>IF(C22="","",VLOOKUP('Opći dio'!$C$3,'Opći dio'!$L$6:$U$137,9,FALSE))</f>
        <v>Sveučilišta i veleučilišta u Republici Hrvatskoj</v>
      </c>
      <c r="C22" s="149">
        <v>11</v>
      </c>
      <c r="D22" s="144" t="str">
        <f t="shared" si="2"/>
        <v>Opći prihodi i primici</v>
      </c>
      <c r="E22" s="149">
        <v>3292</v>
      </c>
      <c r="F22" s="144" t="str">
        <f t="shared" si="3"/>
        <v>Premije osiguranja</v>
      </c>
      <c r="G22" s="183" t="s">
        <v>775</v>
      </c>
      <c r="H22" s="144" t="str">
        <f t="shared" si="4"/>
        <v>PROGRAMSKO FINANCIRANJE JAVNIH VISOKIH UČILIŠTA</v>
      </c>
      <c r="I22" s="182">
        <v>2000</v>
      </c>
      <c r="J22" s="182">
        <v>2000</v>
      </c>
      <c r="K22" s="182">
        <v>2000</v>
      </c>
      <c r="M22" s="139" t="str">
        <f t="shared" si="5"/>
        <v>329</v>
      </c>
      <c r="N22" s="139" t="str">
        <f t="shared" si="6"/>
        <v>32</v>
      </c>
      <c r="O22" s="139">
        <v>71</v>
      </c>
      <c r="P22" s="139" t="s">
        <v>177</v>
      </c>
      <c r="R22" s="139">
        <v>3231</v>
      </c>
      <c r="S22" s="139" t="s">
        <v>106</v>
      </c>
      <c r="U22" s="139" t="str">
        <f t="shared" si="7"/>
        <v>32</v>
      </c>
      <c r="V22" s="139" t="str">
        <f t="shared" si="8"/>
        <v>323</v>
      </c>
      <c r="X22" t="s">
        <v>2020</v>
      </c>
      <c r="Y22" t="s">
        <v>2021</v>
      </c>
    </row>
    <row r="23" spans="1:25">
      <c r="A23" s="143" t="str">
        <f>IF(C23="","",VLOOKUP('Opći dio'!$C$3,'Opći dio'!$L$6:$U$137,10,FALSE))</f>
        <v>08006</v>
      </c>
      <c r="B23" s="143" t="str">
        <f>IF(C23="","",VLOOKUP('Opći dio'!$C$3,'Opći dio'!$L$6:$U$137,9,FALSE))</f>
        <v>Sveučilišta i veleučilišta u Republici Hrvatskoj</v>
      </c>
      <c r="C23" s="149">
        <v>11</v>
      </c>
      <c r="D23" s="144" t="str">
        <f t="shared" si="2"/>
        <v>Opći prihodi i primici</v>
      </c>
      <c r="E23" s="149">
        <v>3299</v>
      </c>
      <c r="F23" s="144" t="str">
        <f t="shared" si="3"/>
        <v>Ostali nespomenuti rashodi poslovanja</v>
      </c>
      <c r="G23" s="183" t="s">
        <v>775</v>
      </c>
      <c r="H23" s="144" t="str">
        <f t="shared" si="4"/>
        <v>PROGRAMSKO FINANCIRANJE JAVNIH VISOKIH UČILIŠTA</v>
      </c>
      <c r="I23" s="182">
        <v>7000</v>
      </c>
      <c r="J23" s="182">
        <v>7000</v>
      </c>
      <c r="K23" s="182">
        <v>7000</v>
      </c>
      <c r="M23" s="139" t="str">
        <f t="shared" si="5"/>
        <v>329</v>
      </c>
      <c r="N23" s="139" t="str">
        <f t="shared" si="6"/>
        <v>32</v>
      </c>
      <c r="O23" s="139">
        <v>81</v>
      </c>
      <c r="P23" s="139" t="s">
        <v>60</v>
      </c>
      <c r="R23" s="139">
        <v>3232</v>
      </c>
      <c r="S23" s="139" t="s">
        <v>93</v>
      </c>
      <c r="U23" s="139" t="str">
        <f t="shared" si="7"/>
        <v>32</v>
      </c>
      <c r="V23" s="139" t="str">
        <f t="shared" si="8"/>
        <v>323</v>
      </c>
      <c r="X23" t="s">
        <v>2022</v>
      </c>
      <c r="Y23" t="s">
        <v>2023</v>
      </c>
    </row>
    <row r="24" spans="1:25">
      <c r="A24" s="143" t="str">
        <f>IF(C24="","",VLOOKUP('Opći dio'!$C$3,'Opći dio'!$L$6:$U$137,10,FALSE))</f>
        <v>08006</v>
      </c>
      <c r="B24" s="143" t="str">
        <f>IF(C24="","",VLOOKUP('Opći dio'!$C$3,'Opći dio'!$L$6:$U$137,9,FALSE))</f>
        <v>Sveučilišta i veleučilišta u Republici Hrvatskoj</v>
      </c>
      <c r="C24" s="149">
        <v>11</v>
      </c>
      <c r="D24" s="144" t="str">
        <f t="shared" si="2"/>
        <v>Opći prihodi i primici</v>
      </c>
      <c r="E24" s="149">
        <v>4221</v>
      </c>
      <c r="F24" s="144" t="str">
        <f t="shared" si="3"/>
        <v>Uredska oprema i namještaj</v>
      </c>
      <c r="G24" s="183" t="s">
        <v>775</v>
      </c>
      <c r="H24" s="144" t="str">
        <f t="shared" si="4"/>
        <v>PROGRAMSKO FINANCIRANJE JAVNIH VISOKIH UČILIŠTA</v>
      </c>
      <c r="I24" s="182">
        <v>26000</v>
      </c>
      <c r="J24" s="182">
        <v>26000</v>
      </c>
      <c r="K24" s="182">
        <v>26000</v>
      </c>
      <c r="M24" s="139" t="str">
        <f t="shared" si="5"/>
        <v>422</v>
      </c>
      <c r="N24" s="139" t="str">
        <f t="shared" si="6"/>
        <v>42</v>
      </c>
      <c r="O24" s="242">
        <v>83</v>
      </c>
      <c r="P24" s="242" t="s">
        <v>1356</v>
      </c>
      <c r="R24" s="139">
        <v>3233</v>
      </c>
      <c r="S24" s="139" t="s">
        <v>81</v>
      </c>
      <c r="U24" s="139" t="str">
        <f t="shared" si="7"/>
        <v>32</v>
      </c>
      <c r="V24" s="139" t="str">
        <f t="shared" si="8"/>
        <v>323</v>
      </c>
      <c r="X24" t="s">
        <v>2024</v>
      </c>
      <c r="Y24" t="s">
        <v>2025</v>
      </c>
    </row>
    <row r="25" spans="1:25">
      <c r="A25" s="143" t="str">
        <f>IF(C25="","",VLOOKUP('Opći dio'!$C$3,'Opći dio'!$L$6:$U$137,10,FALSE))</f>
        <v>08006</v>
      </c>
      <c r="B25" s="143" t="str">
        <f>IF(C25="","",VLOOKUP('Opći dio'!$C$3,'Opći dio'!$L$6:$U$137,9,FALSE))</f>
        <v>Sveučilišta i veleučilišta u Republici Hrvatskoj</v>
      </c>
      <c r="C25" s="149">
        <v>11</v>
      </c>
      <c r="D25" s="144" t="str">
        <f t="shared" si="2"/>
        <v>Opći prihodi i primici</v>
      </c>
      <c r="E25" s="149">
        <v>4222</v>
      </c>
      <c r="F25" s="144" t="str">
        <f t="shared" si="3"/>
        <v>Komunikacijska oprema</v>
      </c>
      <c r="G25" s="183" t="s">
        <v>775</v>
      </c>
      <c r="H25" s="144" t="str">
        <f t="shared" si="4"/>
        <v>PROGRAMSKO FINANCIRANJE JAVNIH VISOKIH UČILIŠTA</v>
      </c>
      <c r="I25" s="182">
        <v>20000</v>
      </c>
      <c r="J25" s="182">
        <v>20000</v>
      </c>
      <c r="K25" s="182">
        <v>20000</v>
      </c>
      <c r="M25" s="139" t="str">
        <f t="shared" si="5"/>
        <v>422</v>
      </c>
      <c r="N25" s="139" t="str">
        <f t="shared" si="6"/>
        <v>42</v>
      </c>
      <c r="R25" s="139">
        <v>3234</v>
      </c>
      <c r="S25" s="139" t="s">
        <v>94</v>
      </c>
      <c r="U25" s="139" t="str">
        <f t="shared" si="7"/>
        <v>32</v>
      </c>
      <c r="V25" s="139" t="str">
        <f t="shared" si="8"/>
        <v>323</v>
      </c>
      <c r="X25" t="s">
        <v>2026</v>
      </c>
      <c r="Y25" t="s">
        <v>2027</v>
      </c>
    </row>
    <row r="26" spans="1:25">
      <c r="A26" s="143" t="str">
        <f>IF(C26="","",VLOOKUP('Opći dio'!$C$3,'Opći dio'!$L$6:$U$137,10,FALSE))</f>
        <v>08006</v>
      </c>
      <c r="B26" s="143" t="str">
        <f>IF(C26="","",VLOOKUP('Opći dio'!$C$3,'Opći dio'!$L$6:$U$137,9,FALSE))</f>
        <v>Sveučilišta i veleučilišta u Republici Hrvatskoj</v>
      </c>
      <c r="C26" s="149">
        <v>11</v>
      </c>
      <c r="D26" s="144" t="str">
        <f t="shared" si="2"/>
        <v>Opći prihodi i primici</v>
      </c>
      <c r="E26" s="149">
        <v>4241</v>
      </c>
      <c r="F26" s="144" t="str">
        <f t="shared" si="3"/>
        <v>Knjige</v>
      </c>
      <c r="G26" s="183" t="s">
        <v>775</v>
      </c>
      <c r="H26" s="144" t="str">
        <f t="shared" si="4"/>
        <v>PROGRAMSKO FINANCIRANJE JAVNIH VISOKIH UČILIŠTA</v>
      </c>
      <c r="I26" s="182">
        <v>122000</v>
      </c>
      <c r="J26" s="182">
        <v>122000</v>
      </c>
      <c r="K26" s="182">
        <v>122000</v>
      </c>
      <c r="M26" s="139" t="str">
        <f t="shared" si="5"/>
        <v>424</v>
      </c>
      <c r="N26" s="139" t="str">
        <f t="shared" si="6"/>
        <v>42</v>
      </c>
      <c r="R26" s="139">
        <v>3235</v>
      </c>
      <c r="S26" s="139" t="s">
        <v>114</v>
      </c>
      <c r="U26" s="139" t="str">
        <f t="shared" si="7"/>
        <v>32</v>
      </c>
      <c r="V26" s="139" t="str">
        <f t="shared" si="8"/>
        <v>323</v>
      </c>
      <c r="X26" t="s">
        <v>2028</v>
      </c>
      <c r="Y26" t="s">
        <v>2029</v>
      </c>
    </row>
    <row r="27" spans="1:25">
      <c r="A27" s="143" t="str">
        <f>IF(C27="","",VLOOKUP('Opći dio'!$C$3,'Opći dio'!$L$6:$U$137,10,FALSE))</f>
        <v>08006</v>
      </c>
      <c r="B27" s="143" t="str">
        <f>IF(C27="","",VLOOKUP('Opći dio'!$C$3,'Opći dio'!$L$6:$U$137,9,FALSE))</f>
        <v>Sveučilišta i veleučilišta u Republici Hrvatskoj</v>
      </c>
      <c r="C27" s="149">
        <v>31</v>
      </c>
      <c r="D27" s="144" t="str">
        <f t="shared" si="2"/>
        <v>Vlastiti prihodi</v>
      </c>
      <c r="E27" s="149">
        <v>3111</v>
      </c>
      <c r="F27" s="144" t="str">
        <f t="shared" si="3"/>
        <v>Plaće za redovan rad</v>
      </c>
      <c r="G27" s="183" t="s">
        <v>181</v>
      </c>
      <c r="H27" s="144" t="str">
        <f t="shared" si="4"/>
        <v>REDOVNA DJELATNOST SVEUČILIŠTA U OSIJEKU (IZ EVIDENCIJSKIH PRIHODA)</v>
      </c>
      <c r="I27" s="182">
        <v>237000</v>
      </c>
      <c r="J27" s="182">
        <v>224000</v>
      </c>
      <c r="K27" s="182">
        <v>229000</v>
      </c>
      <c r="M27" s="139" t="str">
        <f t="shared" si="5"/>
        <v>311</v>
      </c>
      <c r="N27" s="139" t="str">
        <f t="shared" si="6"/>
        <v>31</v>
      </c>
      <c r="R27" s="139">
        <v>3236</v>
      </c>
      <c r="S27" s="139" t="s">
        <v>57</v>
      </c>
      <c r="U27" s="139" t="str">
        <f t="shared" si="7"/>
        <v>32</v>
      </c>
      <c r="V27" s="139" t="str">
        <f t="shared" si="8"/>
        <v>323</v>
      </c>
      <c r="X27" t="s">
        <v>1073</v>
      </c>
      <c r="Y27" t="s">
        <v>1074</v>
      </c>
    </row>
    <row r="28" spans="1:25">
      <c r="A28" s="143" t="str">
        <f>IF(C28="","",VLOOKUP('Opći dio'!$C$3,'Opći dio'!$L$6:$U$137,10,FALSE))</f>
        <v>08006</v>
      </c>
      <c r="B28" s="143" t="str">
        <f>IF(C28="","",VLOOKUP('Opći dio'!$C$3,'Opći dio'!$L$6:$U$137,9,FALSE))</f>
        <v>Sveučilišta i veleučilišta u Republici Hrvatskoj</v>
      </c>
      <c r="C28" s="149">
        <v>31</v>
      </c>
      <c r="D28" s="144" t="str">
        <f t="shared" si="2"/>
        <v>Vlastiti prihodi</v>
      </c>
      <c r="E28" s="149">
        <v>3132</v>
      </c>
      <c r="F28" s="144" t="str">
        <f t="shared" si="3"/>
        <v>Doprinosi za obvezno zdravstveno osiguranje</v>
      </c>
      <c r="G28" s="183" t="s">
        <v>181</v>
      </c>
      <c r="H28" s="144" t="str">
        <f t="shared" si="4"/>
        <v>REDOVNA DJELATNOST SVEUČILIŠTA U OSIJEKU (IZ EVIDENCIJSKIH PRIHODA)</v>
      </c>
      <c r="I28" s="182">
        <v>42000</v>
      </c>
      <c r="J28" s="182">
        <v>28000</v>
      </c>
      <c r="K28" s="182">
        <v>42000</v>
      </c>
      <c r="M28" s="139" t="str">
        <f t="shared" si="5"/>
        <v>313</v>
      </c>
      <c r="N28" s="139" t="str">
        <f t="shared" si="6"/>
        <v>31</v>
      </c>
      <c r="R28" s="139">
        <v>3237</v>
      </c>
      <c r="S28" s="139" t="s">
        <v>70</v>
      </c>
      <c r="U28" s="139" t="str">
        <f t="shared" si="7"/>
        <v>32</v>
      </c>
      <c r="V28" s="139" t="str">
        <f t="shared" si="8"/>
        <v>323</v>
      </c>
      <c r="X28" t="s">
        <v>2030</v>
      </c>
      <c r="Y28" t="s">
        <v>2031</v>
      </c>
    </row>
    <row r="29" spans="1:25">
      <c r="A29" s="143" t="str">
        <f>IF(C29="","",VLOOKUP('Opći dio'!$C$3,'Opći dio'!$L$6:$U$137,10,FALSE))</f>
        <v>08006</v>
      </c>
      <c r="B29" s="143" t="str">
        <f>IF(C29="","",VLOOKUP('Opći dio'!$C$3,'Opći dio'!$L$6:$U$137,9,FALSE))</f>
        <v>Sveučilišta i veleučilišta u Republici Hrvatskoj</v>
      </c>
      <c r="C29" s="149">
        <v>31</v>
      </c>
      <c r="D29" s="144" t="str">
        <f t="shared" si="2"/>
        <v>Vlastiti prihodi</v>
      </c>
      <c r="E29" s="149">
        <v>3211</v>
      </c>
      <c r="F29" s="144" t="str">
        <f t="shared" si="3"/>
        <v>Službena putovanja</v>
      </c>
      <c r="G29" s="183" t="s">
        <v>181</v>
      </c>
      <c r="H29" s="144" t="str">
        <f t="shared" si="4"/>
        <v>REDOVNA DJELATNOST SVEUČILIŠTA U OSIJEKU (IZ EVIDENCIJSKIH PRIHODA)</v>
      </c>
      <c r="I29" s="182">
        <v>6000</v>
      </c>
      <c r="J29" s="182">
        <v>2000</v>
      </c>
      <c r="K29" s="182">
        <v>4000</v>
      </c>
      <c r="M29" s="139" t="str">
        <f t="shared" si="5"/>
        <v>321</v>
      </c>
      <c r="N29" s="139" t="str">
        <f t="shared" si="6"/>
        <v>32</v>
      </c>
      <c r="R29" s="139">
        <v>3238</v>
      </c>
      <c r="S29" s="139" t="s">
        <v>107</v>
      </c>
      <c r="U29" s="139" t="str">
        <f t="shared" si="7"/>
        <v>32</v>
      </c>
      <c r="V29" s="139" t="str">
        <f t="shared" si="8"/>
        <v>323</v>
      </c>
      <c r="X29" t="s">
        <v>2032</v>
      </c>
      <c r="Y29" t="s">
        <v>2033</v>
      </c>
    </row>
    <row r="30" spans="1:25">
      <c r="A30" s="143" t="str">
        <f>IF(C30="","",VLOOKUP('Opći dio'!$C$3,'Opći dio'!$L$6:$U$137,10,FALSE))</f>
        <v>08006</v>
      </c>
      <c r="B30" s="143" t="str">
        <f>IF(C30="","",VLOOKUP('Opći dio'!$C$3,'Opći dio'!$L$6:$U$137,9,FALSE))</f>
        <v>Sveučilišta i veleučilišta u Republici Hrvatskoj</v>
      </c>
      <c r="C30" s="149">
        <v>31</v>
      </c>
      <c r="D30" s="144" t="str">
        <f t="shared" si="2"/>
        <v>Vlastiti prihodi</v>
      </c>
      <c r="E30" s="149">
        <v>3213</v>
      </c>
      <c r="F30" s="144" t="str">
        <f t="shared" si="3"/>
        <v>Stručno usavršavanje zaposlenika</v>
      </c>
      <c r="G30" s="183" t="s">
        <v>181</v>
      </c>
      <c r="H30" s="144" t="str">
        <f t="shared" si="4"/>
        <v>REDOVNA DJELATNOST SVEUČILIŠTA U OSIJEKU (IZ EVIDENCIJSKIH PRIHODA)</v>
      </c>
      <c r="I30" s="182">
        <v>3000</v>
      </c>
      <c r="J30" s="182">
        <v>1000</v>
      </c>
      <c r="K30" s="182">
        <v>2000</v>
      </c>
      <c r="M30" s="139" t="str">
        <f t="shared" si="5"/>
        <v>321</v>
      </c>
      <c r="N30" s="139" t="str">
        <f t="shared" si="6"/>
        <v>32</v>
      </c>
      <c r="R30" s="139">
        <v>3239</v>
      </c>
      <c r="S30" s="139" t="s">
        <v>87</v>
      </c>
      <c r="U30" s="139" t="str">
        <f t="shared" si="7"/>
        <v>32</v>
      </c>
      <c r="V30" s="139" t="str">
        <f t="shared" si="8"/>
        <v>323</v>
      </c>
      <c r="X30" t="s">
        <v>2034</v>
      </c>
      <c r="Y30" t="s">
        <v>2035</v>
      </c>
    </row>
    <row r="31" spans="1:25">
      <c r="A31" s="143" t="str">
        <f>IF(C31="","",VLOOKUP('Opći dio'!$C$3,'Opći dio'!$L$6:$U$137,10,FALSE))</f>
        <v>08006</v>
      </c>
      <c r="B31" s="143" t="str">
        <f>IF(C31="","",VLOOKUP('Opći dio'!$C$3,'Opći dio'!$L$6:$U$137,9,FALSE))</f>
        <v>Sveučilišta i veleučilišta u Republici Hrvatskoj</v>
      </c>
      <c r="C31" s="149">
        <v>31</v>
      </c>
      <c r="D31" s="144" t="str">
        <f t="shared" si="2"/>
        <v>Vlastiti prihodi</v>
      </c>
      <c r="E31" s="149">
        <v>3221</v>
      </c>
      <c r="F31" s="144" t="str">
        <f t="shared" si="3"/>
        <v>Uredski materijal i ostali materijalni rashodi</v>
      </c>
      <c r="G31" s="183" t="s">
        <v>181</v>
      </c>
      <c r="H31" s="144" t="str">
        <f t="shared" si="4"/>
        <v>REDOVNA DJELATNOST SVEUČILIŠTA U OSIJEKU (IZ EVIDENCIJSKIH PRIHODA)</v>
      </c>
      <c r="I31" s="182">
        <v>1000</v>
      </c>
      <c r="J31" s="182">
        <v>1000</v>
      </c>
      <c r="K31" s="182">
        <v>1000</v>
      </c>
      <c r="M31" s="139" t="str">
        <f t="shared" si="5"/>
        <v>322</v>
      </c>
      <c r="N31" s="139" t="str">
        <f t="shared" si="6"/>
        <v>32</v>
      </c>
      <c r="R31" s="139">
        <v>3241</v>
      </c>
      <c r="S31" s="139" t="s">
        <v>84</v>
      </c>
      <c r="U31" s="139" t="str">
        <f t="shared" si="7"/>
        <v>32</v>
      </c>
      <c r="V31" s="139" t="str">
        <f t="shared" si="8"/>
        <v>324</v>
      </c>
      <c r="X31" t="s">
        <v>2036</v>
      </c>
      <c r="Y31" t="s">
        <v>2037</v>
      </c>
    </row>
    <row r="32" spans="1:25">
      <c r="A32" s="143" t="str">
        <f>IF(C32="","",VLOOKUP('Opći dio'!$C$3,'Opći dio'!$L$6:$U$137,10,FALSE))</f>
        <v>08006</v>
      </c>
      <c r="B32" s="143" t="str">
        <f>IF(C32="","",VLOOKUP('Opći dio'!$C$3,'Opći dio'!$L$6:$U$137,9,FALSE))</f>
        <v>Sveučilišta i veleučilišta u Republici Hrvatskoj</v>
      </c>
      <c r="C32" s="149">
        <v>31</v>
      </c>
      <c r="D32" s="144" t="str">
        <f t="shared" si="2"/>
        <v>Vlastiti prihodi</v>
      </c>
      <c r="E32" s="149">
        <v>3233</v>
      </c>
      <c r="F32" s="144" t="str">
        <f t="shared" si="3"/>
        <v>Usluge promidžbe i informiranja</v>
      </c>
      <c r="G32" s="183" t="s">
        <v>181</v>
      </c>
      <c r="H32" s="144" t="str">
        <f t="shared" si="4"/>
        <v>REDOVNA DJELATNOST SVEUČILIŠTA U OSIJEKU (IZ EVIDENCIJSKIH PRIHODA)</v>
      </c>
      <c r="I32" s="182">
        <v>20000</v>
      </c>
      <c r="J32" s="182">
        <v>20000</v>
      </c>
      <c r="K32" s="182">
        <v>10000</v>
      </c>
      <c r="M32" s="139" t="str">
        <f t="shared" si="5"/>
        <v>323</v>
      </c>
      <c r="N32" s="139" t="str">
        <f t="shared" si="6"/>
        <v>32</v>
      </c>
      <c r="R32" s="139">
        <v>3291</v>
      </c>
      <c r="S32" s="139" t="s">
        <v>85</v>
      </c>
      <c r="U32" s="139" t="str">
        <f t="shared" si="7"/>
        <v>32</v>
      </c>
      <c r="V32" s="139" t="str">
        <f t="shared" si="8"/>
        <v>329</v>
      </c>
      <c r="X32" t="s">
        <v>2038</v>
      </c>
      <c r="Y32" t="s">
        <v>2039</v>
      </c>
    </row>
    <row r="33" spans="1:25">
      <c r="A33" s="143" t="str">
        <f>IF(C33="","",VLOOKUP('Opći dio'!$C$3,'Opći dio'!$L$6:$U$137,10,FALSE))</f>
        <v>08006</v>
      </c>
      <c r="B33" s="143" t="str">
        <f>IF(C33="","",VLOOKUP('Opći dio'!$C$3,'Opći dio'!$L$6:$U$137,9,FALSE))</f>
        <v>Sveučilišta i veleučilišta u Republici Hrvatskoj</v>
      </c>
      <c r="C33" s="149">
        <v>31</v>
      </c>
      <c r="D33" s="144" t="str">
        <f t="shared" si="2"/>
        <v>Vlastiti prihodi</v>
      </c>
      <c r="E33" s="149">
        <v>3235</v>
      </c>
      <c r="F33" s="144" t="str">
        <f t="shared" si="3"/>
        <v>Zakupnine i najamnine</v>
      </c>
      <c r="G33" s="183" t="s">
        <v>181</v>
      </c>
      <c r="H33" s="144" t="str">
        <f t="shared" si="4"/>
        <v>REDOVNA DJELATNOST SVEUČILIŠTA U OSIJEKU (IZ EVIDENCIJSKIH PRIHODA)</v>
      </c>
      <c r="I33" s="182">
        <v>5000</v>
      </c>
      <c r="J33" s="182">
        <v>5000</v>
      </c>
      <c r="K33" s="182">
        <v>5000</v>
      </c>
      <c r="M33" s="139" t="str">
        <f t="shared" si="5"/>
        <v>323</v>
      </c>
      <c r="N33" s="139" t="str">
        <f t="shared" si="6"/>
        <v>32</v>
      </c>
      <c r="R33" s="139">
        <v>3292</v>
      </c>
      <c r="S33" s="139" t="s">
        <v>78</v>
      </c>
      <c r="U33" s="139" t="str">
        <f t="shared" si="7"/>
        <v>32</v>
      </c>
      <c r="V33" s="139" t="str">
        <f t="shared" si="8"/>
        <v>329</v>
      </c>
      <c r="X33" t="s">
        <v>2040</v>
      </c>
      <c r="Y33" t="s">
        <v>2041</v>
      </c>
    </row>
    <row r="34" spans="1:25">
      <c r="A34" s="143" t="str">
        <f>IF(C34="","",VLOOKUP('Opći dio'!$C$3,'Opći dio'!$L$6:$U$137,10,FALSE))</f>
        <v>08006</v>
      </c>
      <c r="B34" s="143" t="str">
        <f>IF(C34="","",VLOOKUP('Opći dio'!$C$3,'Opći dio'!$L$6:$U$137,9,FALSE))</f>
        <v>Sveučilišta i veleučilišta u Republici Hrvatskoj</v>
      </c>
      <c r="C34" s="149">
        <v>31</v>
      </c>
      <c r="D34" s="144" t="str">
        <f t="shared" si="2"/>
        <v>Vlastiti prihodi</v>
      </c>
      <c r="E34" s="149">
        <v>3237</v>
      </c>
      <c r="F34" s="144" t="str">
        <f t="shared" si="3"/>
        <v>Intelektualne i osobne usluge</v>
      </c>
      <c r="G34" s="183" t="s">
        <v>181</v>
      </c>
      <c r="H34" s="144" t="str">
        <f t="shared" si="4"/>
        <v>REDOVNA DJELATNOST SVEUČILIŠTA U OSIJEKU (IZ EVIDENCIJSKIH PRIHODA)</v>
      </c>
      <c r="I34" s="182">
        <v>186000</v>
      </c>
      <c r="J34" s="182">
        <v>146000</v>
      </c>
      <c r="K34" s="182">
        <v>159000</v>
      </c>
      <c r="M34" s="139" t="str">
        <f t="shared" si="5"/>
        <v>323</v>
      </c>
      <c r="N34" s="139" t="str">
        <f t="shared" si="6"/>
        <v>32</v>
      </c>
      <c r="R34" s="139">
        <v>3293</v>
      </c>
      <c r="S34" s="139" t="s">
        <v>88</v>
      </c>
      <c r="U34" s="139" t="str">
        <f t="shared" si="7"/>
        <v>32</v>
      </c>
      <c r="V34" s="139" t="str">
        <f t="shared" si="8"/>
        <v>329</v>
      </c>
      <c r="X34" t="s">
        <v>1827</v>
      </c>
      <c r="Y34" t="s">
        <v>1828</v>
      </c>
    </row>
    <row r="35" spans="1:25">
      <c r="A35" s="143" t="str">
        <f>IF(C35="","",VLOOKUP('Opći dio'!$C$3,'Opći dio'!$L$6:$U$137,10,FALSE))</f>
        <v>08006</v>
      </c>
      <c r="B35" s="143" t="str">
        <f>IF(C35="","",VLOOKUP('Opći dio'!$C$3,'Opći dio'!$L$6:$U$137,9,FALSE))</f>
        <v>Sveučilišta i veleučilišta u Republici Hrvatskoj</v>
      </c>
      <c r="C35" s="149">
        <v>31</v>
      </c>
      <c r="D35" s="144" t="str">
        <f t="shared" si="2"/>
        <v>Vlastiti prihodi</v>
      </c>
      <c r="E35" s="149">
        <v>3239</v>
      </c>
      <c r="F35" s="144" t="str">
        <f t="shared" si="3"/>
        <v>Ostale usluge</v>
      </c>
      <c r="G35" s="183" t="s">
        <v>181</v>
      </c>
      <c r="H35" s="144" t="str">
        <f t="shared" si="4"/>
        <v>REDOVNA DJELATNOST SVEUČILIŠTA U OSIJEKU (IZ EVIDENCIJSKIH PRIHODA)</v>
      </c>
      <c r="I35" s="182">
        <v>62000</v>
      </c>
      <c r="J35" s="182">
        <v>56000</v>
      </c>
      <c r="K35" s="182">
        <v>63000</v>
      </c>
      <c r="M35" s="139" t="str">
        <f t="shared" si="5"/>
        <v>323</v>
      </c>
      <c r="N35" s="139" t="str">
        <f t="shared" si="6"/>
        <v>32</v>
      </c>
      <c r="R35" s="139">
        <v>3293</v>
      </c>
      <c r="S35" s="139" t="s">
        <v>135</v>
      </c>
      <c r="U35" s="139" t="str">
        <f t="shared" si="7"/>
        <v>32</v>
      </c>
      <c r="V35" s="139" t="str">
        <f t="shared" si="8"/>
        <v>329</v>
      </c>
      <c r="X35" t="s">
        <v>1829</v>
      </c>
      <c r="Y35" t="s">
        <v>1830</v>
      </c>
    </row>
    <row r="36" spans="1:25">
      <c r="A36" s="143" t="str">
        <f>IF(C36="","",VLOOKUP('Opći dio'!$C$3,'Opći dio'!$L$6:$U$137,10,FALSE))</f>
        <v>08006</v>
      </c>
      <c r="B36" s="143" t="str">
        <f>IF(C36="","",VLOOKUP('Opći dio'!$C$3,'Opći dio'!$L$6:$U$137,9,FALSE))</f>
        <v>Sveučilišta i veleučilišta u Republici Hrvatskoj</v>
      </c>
      <c r="C36" s="149">
        <v>31</v>
      </c>
      <c r="D36" s="144" t="str">
        <f t="shared" si="2"/>
        <v>Vlastiti prihodi</v>
      </c>
      <c r="E36" s="149">
        <v>3241</v>
      </c>
      <c r="F36" s="144" t="str">
        <f t="shared" si="3"/>
        <v>Naknade troškova osobama izvan radnog odnosa</v>
      </c>
      <c r="G36" s="183" t="s">
        <v>181</v>
      </c>
      <c r="H36" s="144" t="str">
        <f t="shared" si="4"/>
        <v>REDOVNA DJELATNOST SVEUČILIŠTA U OSIJEKU (IZ EVIDENCIJSKIH PRIHODA)</v>
      </c>
      <c r="I36" s="182">
        <v>23000</v>
      </c>
      <c r="J36" s="182">
        <v>18000</v>
      </c>
      <c r="K36" s="182">
        <v>18000</v>
      </c>
      <c r="M36" s="139" t="str">
        <f t="shared" si="5"/>
        <v>324</v>
      </c>
      <c r="N36" s="139" t="str">
        <f t="shared" si="6"/>
        <v>32</v>
      </c>
      <c r="R36" s="139">
        <v>3294</v>
      </c>
      <c r="S36" s="139" t="s">
        <v>89</v>
      </c>
      <c r="U36" s="139" t="str">
        <f t="shared" si="7"/>
        <v>32</v>
      </c>
      <c r="V36" s="139" t="str">
        <f t="shared" si="8"/>
        <v>329</v>
      </c>
      <c r="X36" t="s">
        <v>2042</v>
      </c>
      <c r="Y36" t="s">
        <v>2043</v>
      </c>
    </row>
    <row r="37" spans="1:25">
      <c r="A37" s="143" t="str">
        <f>IF(C37="","",VLOOKUP('Opći dio'!$C$3,'Opći dio'!$L$6:$U$137,10,FALSE))</f>
        <v>08006</v>
      </c>
      <c r="B37" s="143" t="str">
        <f>IF(C37="","",VLOOKUP('Opći dio'!$C$3,'Opći dio'!$L$6:$U$137,9,FALSE))</f>
        <v>Sveučilišta i veleučilišta u Republici Hrvatskoj</v>
      </c>
      <c r="C37" s="149">
        <v>31</v>
      </c>
      <c r="D37" s="144" t="str">
        <f t="shared" si="2"/>
        <v>Vlastiti prihodi</v>
      </c>
      <c r="E37" s="149">
        <v>3293</v>
      </c>
      <c r="F37" s="144" t="str">
        <f t="shared" si="3"/>
        <v>Reprezentacija</v>
      </c>
      <c r="G37" s="183" t="s">
        <v>181</v>
      </c>
      <c r="H37" s="144" t="str">
        <f t="shared" si="4"/>
        <v>REDOVNA DJELATNOST SVEUČILIŠTA U OSIJEKU (IZ EVIDENCIJSKIH PRIHODA)</v>
      </c>
      <c r="I37" s="182">
        <v>12000</v>
      </c>
      <c r="J37" s="182">
        <v>14000</v>
      </c>
      <c r="K37" s="182">
        <v>14000</v>
      </c>
      <c r="M37" s="139" t="str">
        <f t="shared" si="5"/>
        <v>329</v>
      </c>
      <c r="N37" s="139" t="str">
        <f t="shared" si="6"/>
        <v>32</v>
      </c>
      <c r="R37" s="139">
        <v>3295</v>
      </c>
      <c r="S37" s="139" t="s">
        <v>58</v>
      </c>
      <c r="U37" s="139" t="str">
        <f t="shared" si="7"/>
        <v>32</v>
      </c>
      <c r="V37" s="139" t="str">
        <f t="shared" si="8"/>
        <v>329</v>
      </c>
      <c r="X37" t="s">
        <v>2044</v>
      </c>
      <c r="Y37" t="s">
        <v>2045</v>
      </c>
    </row>
    <row r="38" spans="1:25">
      <c r="A38" s="143" t="str">
        <f>IF(C38="","",VLOOKUP('Opći dio'!$C$3,'Opći dio'!$L$6:$U$137,10,FALSE))</f>
        <v>08006</v>
      </c>
      <c r="B38" s="143" t="str">
        <f>IF(C38="","",VLOOKUP('Opći dio'!$C$3,'Opći dio'!$L$6:$U$137,9,FALSE))</f>
        <v>Sveučilišta i veleučilišta u Republici Hrvatskoj</v>
      </c>
      <c r="C38" s="149">
        <v>31</v>
      </c>
      <c r="D38" s="144" t="str">
        <f t="shared" si="2"/>
        <v>Vlastiti prihodi</v>
      </c>
      <c r="E38" s="149">
        <v>3299</v>
      </c>
      <c r="F38" s="144" t="str">
        <f t="shared" si="3"/>
        <v>Ostali nespomenuti rashodi poslovanja</v>
      </c>
      <c r="G38" s="183" t="s">
        <v>181</v>
      </c>
      <c r="H38" s="144" t="str">
        <f t="shared" si="4"/>
        <v>REDOVNA DJELATNOST SVEUČILIŠTA U OSIJEKU (IZ EVIDENCIJSKIH PRIHODA)</v>
      </c>
      <c r="I38" s="182">
        <v>28000</v>
      </c>
      <c r="J38" s="182">
        <v>27000</v>
      </c>
      <c r="K38" s="182">
        <v>27000</v>
      </c>
      <c r="M38" s="139" t="str">
        <f t="shared" si="5"/>
        <v>329</v>
      </c>
      <c r="N38" s="139" t="str">
        <f t="shared" si="6"/>
        <v>32</v>
      </c>
      <c r="R38" s="139">
        <v>3296</v>
      </c>
      <c r="S38" s="139" t="s">
        <v>152</v>
      </c>
      <c r="U38" s="139" t="str">
        <f t="shared" si="7"/>
        <v>32</v>
      </c>
      <c r="V38" s="139" t="str">
        <f t="shared" si="8"/>
        <v>329</v>
      </c>
      <c r="X38" t="s">
        <v>2046</v>
      </c>
      <c r="Y38" t="s">
        <v>2047</v>
      </c>
    </row>
    <row r="39" spans="1:25">
      <c r="A39" s="143" t="str">
        <f>IF(C39="","",VLOOKUP('Opći dio'!$C$3,'Opći dio'!$L$6:$U$137,10,FALSE))</f>
        <v>08006</v>
      </c>
      <c r="B39" s="143" t="str">
        <f>IF(C39="","",VLOOKUP('Opći dio'!$C$3,'Opći dio'!$L$6:$U$137,9,FALSE))</f>
        <v>Sveučilišta i veleučilišta u Republici Hrvatskoj</v>
      </c>
      <c r="C39" s="149">
        <v>31</v>
      </c>
      <c r="D39" s="144" t="str">
        <f t="shared" si="2"/>
        <v>Vlastiti prihodi</v>
      </c>
      <c r="E39" s="149">
        <v>3431</v>
      </c>
      <c r="F39" s="144" t="str">
        <f t="shared" si="3"/>
        <v>Bankarske usluge i usluge platnog prometa</v>
      </c>
      <c r="G39" s="183" t="s">
        <v>181</v>
      </c>
      <c r="H39" s="144" t="str">
        <f t="shared" si="4"/>
        <v>REDOVNA DJELATNOST SVEUČILIŠTA U OSIJEKU (IZ EVIDENCIJSKIH PRIHODA)</v>
      </c>
      <c r="I39" s="182">
        <v>4000</v>
      </c>
      <c r="J39" s="182">
        <v>4000</v>
      </c>
      <c r="K39" s="182">
        <v>4000</v>
      </c>
      <c r="M39" s="139" t="str">
        <f t="shared" si="5"/>
        <v>343</v>
      </c>
      <c r="N39" s="139" t="str">
        <f t="shared" si="6"/>
        <v>34</v>
      </c>
      <c r="R39" s="139">
        <v>3299</v>
      </c>
      <c r="S39" s="139" t="s">
        <v>61</v>
      </c>
      <c r="U39" s="139" t="str">
        <f t="shared" si="7"/>
        <v>32</v>
      </c>
      <c r="V39" s="139" t="str">
        <f t="shared" si="8"/>
        <v>329</v>
      </c>
      <c r="X39" t="s">
        <v>2048</v>
      </c>
      <c r="Y39" t="s">
        <v>2049</v>
      </c>
    </row>
    <row r="40" spans="1:25">
      <c r="A40" s="143" t="str">
        <f>IF(C40="","",VLOOKUP('Opći dio'!$C$3,'Opći dio'!$L$6:$U$137,10,FALSE))</f>
        <v>08006</v>
      </c>
      <c r="B40" s="143" t="str">
        <f>IF(C40="","",VLOOKUP('Opći dio'!$C$3,'Opći dio'!$L$6:$U$137,9,FALSE))</f>
        <v>Sveučilišta i veleučilišta u Republici Hrvatskoj</v>
      </c>
      <c r="C40" s="149">
        <v>31</v>
      </c>
      <c r="D40" s="144" t="str">
        <f t="shared" si="2"/>
        <v>Vlastiti prihodi</v>
      </c>
      <c r="E40" s="149">
        <v>4221</v>
      </c>
      <c r="F40" s="144" t="str">
        <f t="shared" si="3"/>
        <v>Uredska oprema i namještaj</v>
      </c>
      <c r="G40" s="183" t="s">
        <v>181</v>
      </c>
      <c r="H40" s="144" t="str">
        <f t="shared" si="4"/>
        <v>REDOVNA DJELATNOST SVEUČILIŠTA U OSIJEKU (IZ EVIDENCIJSKIH PRIHODA)</v>
      </c>
      <c r="I40" s="182">
        <v>66000</v>
      </c>
      <c r="J40" s="182">
        <v>159000</v>
      </c>
      <c r="K40" s="182">
        <v>164000</v>
      </c>
      <c r="M40" s="139" t="str">
        <f t="shared" si="5"/>
        <v>422</v>
      </c>
      <c r="N40" s="139" t="str">
        <f t="shared" si="6"/>
        <v>42</v>
      </c>
      <c r="R40" s="139">
        <v>3411</v>
      </c>
      <c r="S40" s="139" t="s">
        <v>190</v>
      </c>
      <c r="U40" s="139" t="str">
        <f t="shared" si="7"/>
        <v>34</v>
      </c>
      <c r="V40" s="139" t="str">
        <f t="shared" si="8"/>
        <v>341</v>
      </c>
      <c r="X40" t="s">
        <v>2050</v>
      </c>
      <c r="Y40" t="s">
        <v>1058</v>
      </c>
    </row>
    <row r="41" spans="1:25">
      <c r="A41" s="143" t="str">
        <f>IF(C41="","",VLOOKUP('Opći dio'!$C$3,'Opći dio'!$L$6:$U$137,10,FALSE))</f>
        <v>08006</v>
      </c>
      <c r="B41" s="143" t="str">
        <f>IF(C41="","",VLOOKUP('Opći dio'!$C$3,'Opći dio'!$L$6:$U$137,9,FALSE))</f>
        <v>Sveučilišta i veleučilišta u Republici Hrvatskoj</v>
      </c>
      <c r="C41" s="149">
        <v>31</v>
      </c>
      <c r="D41" s="144" t="str">
        <f t="shared" si="2"/>
        <v>Vlastiti prihodi</v>
      </c>
      <c r="E41" s="149">
        <v>4241</v>
      </c>
      <c r="F41" s="144" t="str">
        <f t="shared" si="3"/>
        <v>Knjige</v>
      </c>
      <c r="G41" s="183" t="s">
        <v>181</v>
      </c>
      <c r="H41" s="144" t="str">
        <f t="shared" si="4"/>
        <v>REDOVNA DJELATNOST SVEUČILIŠTA U OSIJEKU (IZ EVIDENCIJSKIH PRIHODA)</v>
      </c>
      <c r="I41" s="182">
        <v>13000</v>
      </c>
      <c r="J41" s="182">
        <v>49000</v>
      </c>
      <c r="K41" s="182">
        <v>67000</v>
      </c>
      <c r="M41" s="139" t="str">
        <f t="shared" si="5"/>
        <v>424</v>
      </c>
      <c r="N41" s="139" t="str">
        <f t="shared" si="6"/>
        <v>42</v>
      </c>
      <c r="R41" s="139">
        <v>3422</v>
      </c>
      <c r="S41" s="139" t="s">
        <v>153</v>
      </c>
      <c r="U41" s="139" t="str">
        <f t="shared" si="7"/>
        <v>34</v>
      </c>
      <c r="V41" s="139" t="str">
        <f t="shared" si="8"/>
        <v>342</v>
      </c>
      <c r="X41" t="s">
        <v>1831</v>
      </c>
      <c r="Y41" t="s">
        <v>1832</v>
      </c>
    </row>
    <row r="42" spans="1:25">
      <c r="A42" s="143" t="str">
        <f>IF(C42="","",VLOOKUP('Opći dio'!$C$3,'Opći dio'!$L$6:$U$137,10,FALSE))</f>
        <v>08006</v>
      </c>
      <c r="B42" s="143" t="str">
        <f>IF(C42="","",VLOOKUP('Opći dio'!$C$3,'Opći dio'!$L$6:$U$137,9,FALSE))</f>
        <v>Sveučilišta i veleučilišta u Republici Hrvatskoj</v>
      </c>
      <c r="C42" s="149">
        <v>61</v>
      </c>
      <c r="D42" s="144" t="str">
        <f t="shared" si="2"/>
        <v>Donacije</v>
      </c>
      <c r="E42" s="149">
        <v>3111</v>
      </c>
      <c r="F42" s="144" t="str">
        <f t="shared" si="3"/>
        <v>Plaće za redovan rad</v>
      </c>
      <c r="G42" s="183" t="s">
        <v>181</v>
      </c>
      <c r="H42" s="144" t="str">
        <f t="shared" si="4"/>
        <v>REDOVNA DJELATNOST SVEUČILIŠTA U OSIJEKU (IZ EVIDENCIJSKIH PRIHODA)</v>
      </c>
      <c r="I42" s="182">
        <v>120250</v>
      </c>
      <c r="J42" s="182">
        <v>131800</v>
      </c>
      <c r="K42" s="182">
        <v>119000</v>
      </c>
      <c r="M42" s="139" t="str">
        <f t="shared" si="5"/>
        <v>311</v>
      </c>
      <c r="N42" s="139" t="str">
        <f t="shared" si="6"/>
        <v>31</v>
      </c>
      <c r="R42" s="139">
        <v>3423</v>
      </c>
      <c r="S42" s="139" t="s">
        <v>153</v>
      </c>
      <c r="U42" s="139" t="str">
        <f t="shared" ref="U42:U73" si="9">LEFT(R42,2)</f>
        <v>34</v>
      </c>
      <c r="V42" s="139" t="str">
        <f t="shared" ref="V42:V73" si="10">LEFT(R42,3)</f>
        <v>342</v>
      </c>
      <c r="X42" t="s">
        <v>2051</v>
      </c>
      <c r="Y42" t="s">
        <v>2052</v>
      </c>
    </row>
    <row r="43" spans="1:25">
      <c r="A43" s="143" t="str">
        <f>IF(C43="","",VLOOKUP('Opći dio'!$C$3,'Opći dio'!$L$6:$U$137,10,FALSE))</f>
        <v>08006</v>
      </c>
      <c r="B43" s="143" t="str">
        <f>IF(C43="","",VLOOKUP('Opći dio'!$C$3,'Opći dio'!$L$6:$U$137,9,FALSE))</f>
        <v>Sveučilišta i veleučilišta u Republici Hrvatskoj</v>
      </c>
      <c r="C43" s="149">
        <v>61</v>
      </c>
      <c r="D43" s="144" t="str">
        <f t="shared" si="2"/>
        <v>Donacije</v>
      </c>
      <c r="E43" s="149">
        <v>3121</v>
      </c>
      <c r="F43" s="144" t="str">
        <f t="shared" si="3"/>
        <v>Ostali rashodi za zaposlene</v>
      </c>
      <c r="G43" s="183" t="s">
        <v>181</v>
      </c>
      <c r="H43" s="144" t="str">
        <f t="shared" si="4"/>
        <v>REDOVNA DJELATNOST SVEUČILIŠTA U OSIJEKU (IZ EVIDENCIJSKIH PRIHODA)</v>
      </c>
      <c r="I43" s="182">
        <v>4500</v>
      </c>
      <c r="J43" s="182">
        <v>3000</v>
      </c>
      <c r="K43" s="182">
        <v>3000</v>
      </c>
      <c r="M43" s="139" t="str">
        <f t="shared" si="5"/>
        <v>312</v>
      </c>
      <c r="N43" s="139" t="str">
        <f t="shared" si="6"/>
        <v>31</v>
      </c>
      <c r="R43" s="139">
        <v>3427</v>
      </c>
      <c r="S43" s="139" t="s">
        <v>192</v>
      </c>
      <c r="U43" s="139" t="str">
        <f t="shared" si="9"/>
        <v>34</v>
      </c>
      <c r="V43" s="139" t="str">
        <f t="shared" si="10"/>
        <v>342</v>
      </c>
      <c r="X43" t="s">
        <v>2053</v>
      </c>
      <c r="Y43" t="s">
        <v>2054</v>
      </c>
    </row>
    <row r="44" spans="1:25">
      <c r="A44" s="143" t="str">
        <f>IF(C44="","",VLOOKUP('Opći dio'!$C$3,'Opći dio'!$L$6:$U$137,10,FALSE))</f>
        <v>08006</v>
      </c>
      <c r="B44" s="143" t="str">
        <f>IF(C44="","",VLOOKUP('Opći dio'!$C$3,'Opći dio'!$L$6:$U$137,9,FALSE))</f>
        <v>Sveučilišta i veleučilišta u Republici Hrvatskoj</v>
      </c>
      <c r="C44" s="149">
        <v>61</v>
      </c>
      <c r="D44" s="144" t="str">
        <f t="shared" si="2"/>
        <v>Donacije</v>
      </c>
      <c r="E44" s="149">
        <v>3132</v>
      </c>
      <c r="F44" s="144" t="str">
        <f t="shared" si="3"/>
        <v>Doprinosi za obvezno zdravstveno osiguranje</v>
      </c>
      <c r="G44" s="183" t="s">
        <v>181</v>
      </c>
      <c r="H44" s="144" t="str">
        <f t="shared" si="4"/>
        <v>REDOVNA DJELATNOST SVEUČILIŠTA U OSIJEKU (IZ EVIDENCIJSKIH PRIHODA)</v>
      </c>
      <c r="I44" s="182">
        <v>25283</v>
      </c>
      <c r="J44" s="182">
        <v>22200</v>
      </c>
      <c r="K44" s="182">
        <v>20000</v>
      </c>
      <c r="M44" s="139" t="str">
        <f t="shared" si="5"/>
        <v>313</v>
      </c>
      <c r="N44" s="139" t="str">
        <f t="shared" si="6"/>
        <v>31</v>
      </c>
      <c r="R44" s="139">
        <v>3431</v>
      </c>
      <c r="S44" s="139" t="s">
        <v>86</v>
      </c>
      <c r="U44" s="139" t="str">
        <f t="shared" si="9"/>
        <v>34</v>
      </c>
      <c r="V44" s="139" t="str">
        <f t="shared" si="10"/>
        <v>343</v>
      </c>
      <c r="X44" t="s">
        <v>2055</v>
      </c>
      <c r="Y44" t="s">
        <v>2056</v>
      </c>
    </row>
    <row r="45" spans="1:25">
      <c r="A45" s="143" t="str">
        <f>IF(C45="","",VLOOKUP('Opći dio'!$C$3,'Opći dio'!$L$6:$U$137,10,FALSE))</f>
        <v>08006</v>
      </c>
      <c r="B45" s="143" t="str">
        <f>IF(C45="","",VLOOKUP('Opći dio'!$C$3,'Opći dio'!$L$6:$U$137,9,FALSE))</f>
        <v>Sveučilišta i veleučilišta u Republici Hrvatskoj</v>
      </c>
      <c r="C45" s="149">
        <v>61</v>
      </c>
      <c r="D45" s="144" t="str">
        <f t="shared" si="2"/>
        <v>Donacije</v>
      </c>
      <c r="E45" s="149">
        <v>3211</v>
      </c>
      <c r="F45" s="144" t="str">
        <f t="shared" si="3"/>
        <v>Službena putovanja</v>
      </c>
      <c r="G45" s="183" t="s">
        <v>181</v>
      </c>
      <c r="H45" s="144" t="str">
        <f t="shared" si="4"/>
        <v>REDOVNA DJELATNOST SVEUČILIŠTA U OSIJEKU (IZ EVIDENCIJSKIH PRIHODA)</v>
      </c>
      <c r="I45" s="182">
        <v>33000</v>
      </c>
      <c r="J45" s="182">
        <v>20000</v>
      </c>
      <c r="K45" s="182">
        <v>0</v>
      </c>
      <c r="M45" s="139" t="str">
        <f t="shared" si="5"/>
        <v>321</v>
      </c>
      <c r="N45" s="139" t="str">
        <f t="shared" si="6"/>
        <v>32</v>
      </c>
      <c r="R45" s="139">
        <v>3432</v>
      </c>
      <c r="S45" s="139" t="s">
        <v>102</v>
      </c>
      <c r="U45" s="139" t="str">
        <f t="shared" si="9"/>
        <v>34</v>
      </c>
      <c r="V45" s="139" t="str">
        <f t="shared" si="10"/>
        <v>343</v>
      </c>
      <c r="X45" t="s">
        <v>2057</v>
      </c>
      <c r="Y45" t="s">
        <v>1058</v>
      </c>
    </row>
    <row r="46" spans="1:25">
      <c r="A46" s="143" t="str">
        <f>IF(C46="","",VLOOKUP('Opći dio'!$C$3,'Opći dio'!$L$6:$U$137,10,FALSE))</f>
        <v>08006</v>
      </c>
      <c r="B46" s="143" t="str">
        <f>IF(C46="","",VLOOKUP('Opći dio'!$C$3,'Opći dio'!$L$6:$U$137,9,FALSE))</f>
        <v>Sveučilišta i veleučilišta u Republici Hrvatskoj</v>
      </c>
      <c r="C46" s="149">
        <v>61</v>
      </c>
      <c r="D46" s="144" t="str">
        <f t="shared" si="2"/>
        <v>Donacije</v>
      </c>
      <c r="E46" s="149">
        <v>3212</v>
      </c>
      <c r="F46" s="144" t="str">
        <f t="shared" si="3"/>
        <v>Naknade za prijevoz, za rad na terenu i odvojeni život</v>
      </c>
      <c r="G46" s="183" t="s">
        <v>181</v>
      </c>
      <c r="H46" s="144" t="str">
        <f t="shared" si="4"/>
        <v>REDOVNA DJELATNOST SVEUČILIŠTA U OSIJEKU (IZ EVIDENCIJSKIH PRIHODA)</v>
      </c>
      <c r="I46" s="182">
        <v>5000</v>
      </c>
      <c r="J46" s="182">
        <v>3500</v>
      </c>
      <c r="K46" s="182">
        <v>3500</v>
      </c>
      <c r="M46" s="139" t="str">
        <f t="shared" si="5"/>
        <v>321</v>
      </c>
      <c r="N46" s="139" t="str">
        <f t="shared" si="6"/>
        <v>32</v>
      </c>
      <c r="R46" s="139">
        <v>3433</v>
      </c>
      <c r="S46" s="139" t="s">
        <v>140</v>
      </c>
      <c r="U46" s="139" t="str">
        <f t="shared" si="9"/>
        <v>34</v>
      </c>
      <c r="V46" s="139" t="str">
        <f t="shared" si="10"/>
        <v>343</v>
      </c>
      <c r="X46" t="s">
        <v>1833</v>
      </c>
      <c r="Y46" t="s">
        <v>1259</v>
      </c>
    </row>
    <row r="47" spans="1:25">
      <c r="A47" s="143" t="str">
        <f>IF(C47="","",VLOOKUP('Opći dio'!$C$3,'Opći dio'!$L$6:$U$137,10,FALSE))</f>
        <v>08006</v>
      </c>
      <c r="B47" s="143" t="str">
        <f>IF(C47="","",VLOOKUP('Opći dio'!$C$3,'Opći dio'!$L$6:$U$137,9,FALSE))</f>
        <v>Sveučilišta i veleučilišta u Republici Hrvatskoj</v>
      </c>
      <c r="C47" s="149">
        <v>61</v>
      </c>
      <c r="D47" s="144" t="str">
        <f t="shared" si="2"/>
        <v>Donacije</v>
      </c>
      <c r="E47" s="149">
        <v>3293</v>
      </c>
      <c r="F47" s="144" t="str">
        <f t="shared" si="3"/>
        <v>Reprezentacija</v>
      </c>
      <c r="G47" s="183" t="s">
        <v>181</v>
      </c>
      <c r="H47" s="144" t="str">
        <f t="shared" si="4"/>
        <v>REDOVNA DJELATNOST SVEUČILIŠTA U OSIJEKU (IZ EVIDENCIJSKIH PRIHODA)</v>
      </c>
      <c r="I47" s="182">
        <v>5000</v>
      </c>
      <c r="J47" s="182">
        <v>0</v>
      </c>
      <c r="K47" s="182">
        <v>0</v>
      </c>
      <c r="M47" s="139" t="str">
        <f t="shared" si="5"/>
        <v>329</v>
      </c>
      <c r="N47" s="139" t="str">
        <f t="shared" si="6"/>
        <v>32</v>
      </c>
      <c r="R47" s="139">
        <v>3434</v>
      </c>
      <c r="S47" s="139" t="s">
        <v>71</v>
      </c>
      <c r="U47" s="139" t="str">
        <f t="shared" si="9"/>
        <v>34</v>
      </c>
      <c r="V47" s="139" t="str">
        <f t="shared" si="10"/>
        <v>343</v>
      </c>
      <c r="X47" t="s">
        <v>2058</v>
      </c>
      <c r="Y47" t="s">
        <v>2059</v>
      </c>
    </row>
    <row r="48" spans="1:25">
      <c r="A48" s="143" t="str">
        <f>IF(C48="","",VLOOKUP('Opći dio'!$C$3,'Opći dio'!$L$6:$U$137,10,FALSE))</f>
        <v>08006</v>
      </c>
      <c r="B48" s="143" t="str">
        <f>IF(C48="","",VLOOKUP('Opći dio'!$C$3,'Opći dio'!$L$6:$U$137,9,FALSE))</f>
        <v>Sveučilišta i veleučilišta u Republici Hrvatskoj</v>
      </c>
      <c r="C48" s="149">
        <v>61</v>
      </c>
      <c r="D48" s="144" t="str">
        <f t="shared" si="2"/>
        <v>Donacije</v>
      </c>
      <c r="E48" s="149">
        <v>3239</v>
      </c>
      <c r="F48" s="144" t="str">
        <f t="shared" si="3"/>
        <v>Ostale usluge</v>
      </c>
      <c r="G48" s="183" t="s">
        <v>181</v>
      </c>
      <c r="H48" s="144" t="str">
        <f t="shared" si="4"/>
        <v>REDOVNA DJELATNOST SVEUČILIŠTA U OSIJEKU (IZ EVIDENCIJSKIH PRIHODA)</v>
      </c>
      <c r="I48" s="182">
        <v>12000</v>
      </c>
      <c r="J48" s="182">
        <v>0</v>
      </c>
      <c r="K48" s="182">
        <v>0</v>
      </c>
      <c r="M48" s="139" t="str">
        <f t="shared" si="5"/>
        <v>323</v>
      </c>
      <c r="N48" s="139" t="str">
        <f t="shared" si="6"/>
        <v>32</v>
      </c>
      <c r="R48" s="139">
        <v>3511</v>
      </c>
      <c r="S48" s="139" t="s">
        <v>183</v>
      </c>
      <c r="U48" s="139" t="str">
        <f t="shared" si="9"/>
        <v>35</v>
      </c>
      <c r="V48" s="139" t="str">
        <f t="shared" si="10"/>
        <v>351</v>
      </c>
      <c r="X48" t="s">
        <v>1834</v>
      </c>
      <c r="Y48" t="s">
        <v>1835</v>
      </c>
    </row>
    <row r="49" spans="1:25">
      <c r="A49" s="143" t="str">
        <f>IF(C49="","",VLOOKUP('Opći dio'!$C$3,'Opći dio'!$L$6:$U$137,10,FALSE))</f>
        <v>08006</v>
      </c>
      <c r="B49" s="143" t="str">
        <f>IF(C49="","",VLOOKUP('Opći dio'!$C$3,'Opći dio'!$L$6:$U$137,9,FALSE))</f>
        <v>Sveučilišta i veleučilišta u Republici Hrvatskoj</v>
      </c>
      <c r="C49" s="149">
        <v>43</v>
      </c>
      <c r="D49" s="144" t="str">
        <f t="shared" si="2"/>
        <v>Ostali prihodi za posebne namjene</v>
      </c>
      <c r="E49" s="149">
        <v>3111</v>
      </c>
      <c r="F49" s="144" t="str">
        <f t="shared" si="3"/>
        <v>Plaće za redovan rad</v>
      </c>
      <c r="G49" s="183" t="s">
        <v>181</v>
      </c>
      <c r="H49" s="144" t="str">
        <f t="shared" si="4"/>
        <v>REDOVNA DJELATNOST SVEUČILIŠTA U OSIJEKU (IZ EVIDENCIJSKIH PRIHODA)</v>
      </c>
      <c r="I49" s="182">
        <v>5194850</v>
      </c>
      <c r="J49" s="182">
        <v>6694200</v>
      </c>
      <c r="K49" s="182">
        <v>6942000</v>
      </c>
      <c r="M49" s="139" t="str">
        <f t="shared" si="5"/>
        <v>311</v>
      </c>
      <c r="N49" s="139" t="str">
        <f t="shared" si="6"/>
        <v>31</v>
      </c>
      <c r="R49" s="139">
        <v>3512</v>
      </c>
      <c r="S49" s="139" t="s">
        <v>185</v>
      </c>
      <c r="U49" s="139" t="str">
        <f t="shared" si="9"/>
        <v>35</v>
      </c>
      <c r="V49" s="139" t="str">
        <f t="shared" si="10"/>
        <v>351</v>
      </c>
      <c r="X49" t="s">
        <v>2060</v>
      </c>
      <c r="Y49" t="s">
        <v>2061</v>
      </c>
    </row>
    <row r="50" spans="1:25">
      <c r="A50" s="143" t="str">
        <f>IF(C50="","",VLOOKUP('Opći dio'!$C$3,'Opći dio'!$L$6:$U$137,10,FALSE))</f>
        <v>08006</v>
      </c>
      <c r="B50" s="143" t="str">
        <f>IF(C50="","",VLOOKUP('Opći dio'!$C$3,'Opći dio'!$L$6:$U$137,9,FALSE))</f>
        <v>Sveučilišta i veleučilišta u Republici Hrvatskoj</v>
      </c>
      <c r="C50" s="149">
        <v>43</v>
      </c>
      <c r="D50" s="144" t="str">
        <f t="shared" si="2"/>
        <v>Ostali prihodi za posebne namjene</v>
      </c>
      <c r="E50" s="149">
        <v>3121</v>
      </c>
      <c r="F50" s="144" t="str">
        <f t="shared" si="3"/>
        <v>Ostali rashodi za zaposlene</v>
      </c>
      <c r="G50" s="183" t="s">
        <v>181</v>
      </c>
      <c r="H50" s="144" t="str">
        <f t="shared" si="4"/>
        <v>REDOVNA DJELATNOST SVEUČILIŠTA U OSIJEKU (IZ EVIDENCIJSKIH PRIHODA)</v>
      </c>
      <c r="I50" s="182">
        <v>664133</v>
      </c>
      <c r="J50" s="182">
        <v>663224</v>
      </c>
      <c r="K50" s="182">
        <v>661871</v>
      </c>
      <c r="M50" s="139" t="str">
        <f t="shared" si="5"/>
        <v>312</v>
      </c>
      <c r="N50" s="139" t="str">
        <f t="shared" si="6"/>
        <v>31</v>
      </c>
      <c r="R50" s="139">
        <v>3522</v>
      </c>
      <c r="S50" s="139" t="s">
        <v>259</v>
      </c>
      <c r="U50" s="139" t="str">
        <f t="shared" si="9"/>
        <v>35</v>
      </c>
      <c r="V50" s="139" t="str">
        <f t="shared" si="10"/>
        <v>352</v>
      </c>
      <c r="X50" t="s">
        <v>2062</v>
      </c>
      <c r="Y50" t="s">
        <v>2063</v>
      </c>
    </row>
    <row r="51" spans="1:25">
      <c r="A51" s="143" t="str">
        <f>IF(C51="","",VLOOKUP('Opći dio'!$C$3,'Opći dio'!$L$6:$U$137,10,FALSE))</f>
        <v>08006</v>
      </c>
      <c r="B51" s="143" t="str">
        <f>IF(C51="","",VLOOKUP('Opći dio'!$C$3,'Opći dio'!$L$6:$U$137,9,FALSE))</f>
        <v>Sveučilišta i veleučilišta u Republici Hrvatskoj</v>
      </c>
      <c r="C51" s="149">
        <v>43</v>
      </c>
      <c r="D51" s="144" t="str">
        <f t="shared" si="2"/>
        <v>Ostali prihodi za posebne namjene</v>
      </c>
      <c r="E51" s="149">
        <v>3132</v>
      </c>
      <c r="F51" s="144" t="str">
        <f t="shared" si="3"/>
        <v>Doprinosi za obvezno zdravstveno osiguranje</v>
      </c>
      <c r="G51" s="183" t="s">
        <v>181</v>
      </c>
      <c r="H51" s="144" t="str">
        <f t="shared" si="4"/>
        <v>REDOVNA DJELATNOST SVEUČILIŠTA U OSIJEKU (IZ EVIDENCIJSKIH PRIHODA)</v>
      </c>
      <c r="I51" s="182">
        <v>875846</v>
      </c>
      <c r="J51" s="182">
        <v>1119800</v>
      </c>
      <c r="K51" s="182">
        <v>1138000</v>
      </c>
      <c r="M51" s="139" t="str">
        <f t="shared" si="5"/>
        <v>313</v>
      </c>
      <c r="N51" s="139" t="str">
        <f t="shared" si="6"/>
        <v>31</v>
      </c>
      <c r="R51" s="139">
        <v>3531</v>
      </c>
      <c r="S51" s="139" t="s">
        <v>137</v>
      </c>
      <c r="U51" s="139" t="str">
        <f t="shared" si="9"/>
        <v>35</v>
      </c>
      <c r="V51" s="139" t="str">
        <f t="shared" si="10"/>
        <v>353</v>
      </c>
      <c r="X51" t="s">
        <v>2064</v>
      </c>
      <c r="Y51" t="s">
        <v>2065</v>
      </c>
    </row>
    <row r="52" spans="1:25">
      <c r="A52" s="143" t="str">
        <f>IF(C52="","",VLOOKUP('Opći dio'!$C$3,'Opći dio'!$L$6:$U$137,10,FALSE))</f>
        <v>08006</v>
      </c>
      <c r="B52" s="143" t="str">
        <f>IF(C52="","",VLOOKUP('Opći dio'!$C$3,'Opći dio'!$L$6:$U$137,9,FALSE))</f>
        <v>Sveučilišta i veleučilišta u Republici Hrvatskoj</v>
      </c>
      <c r="C52" s="149">
        <v>43</v>
      </c>
      <c r="D52" s="144" t="str">
        <f t="shared" si="2"/>
        <v>Ostali prihodi za posebne namjene</v>
      </c>
      <c r="E52" s="149">
        <v>3211</v>
      </c>
      <c r="F52" s="144" t="str">
        <f t="shared" si="3"/>
        <v>Službena putovanja</v>
      </c>
      <c r="G52" s="183" t="s">
        <v>181</v>
      </c>
      <c r="H52" s="144" t="str">
        <f t="shared" si="4"/>
        <v>REDOVNA DJELATNOST SVEUČILIŠTA U OSIJEKU (IZ EVIDENCIJSKIH PRIHODA)</v>
      </c>
      <c r="I52" s="182">
        <v>229500</v>
      </c>
      <c r="J52" s="182">
        <v>274000</v>
      </c>
      <c r="K52" s="182">
        <v>301000</v>
      </c>
      <c r="M52" s="139" t="str">
        <f t="shared" si="5"/>
        <v>321</v>
      </c>
      <c r="N52" s="139" t="str">
        <f t="shared" si="6"/>
        <v>32</v>
      </c>
      <c r="R52" s="139">
        <v>3611</v>
      </c>
      <c r="S52" s="139" t="s">
        <v>91</v>
      </c>
      <c r="U52" s="139" t="str">
        <f t="shared" si="9"/>
        <v>36</v>
      </c>
      <c r="V52" s="139" t="str">
        <f t="shared" si="10"/>
        <v>361</v>
      </c>
      <c r="X52" t="s">
        <v>2066</v>
      </c>
      <c r="Y52" t="s">
        <v>2067</v>
      </c>
    </row>
    <row r="53" spans="1:25">
      <c r="A53" s="143" t="str">
        <f>IF(C53="","",VLOOKUP('Opći dio'!$C$3,'Opći dio'!$L$6:$U$137,10,FALSE))</f>
        <v>08006</v>
      </c>
      <c r="B53" s="143" t="str">
        <f>IF(C53="","",VLOOKUP('Opći dio'!$C$3,'Opći dio'!$L$6:$U$137,9,FALSE))</f>
        <v>Sveučilišta i veleučilišta u Republici Hrvatskoj</v>
      </c>
      <c r="C53" s="149">
        <v>43</v>
      </c>
      <c r="D53" s="144" t="str">
        <f t="shared" si="2"/>
        <v>Ostali prihodi za posebne namjene</v>
      </c>
      <c r="E53" s="149">
        <v>3213</v>
      </c>
      <c r="F53" s="144" t="str">
        <f t="shared" si="3"/>
        <v>Stručno usavršavanje zaposlenika</v>
      </c>
      <c r="G53" s="183" t="s">
        <v>181</v>
      </c>
      <c r="H53" s="144" t="str">
        <f t="shared" si="4"/>
        <v>REDOVNA DJELATNOST SVEUČILIŠTA U OSIJEKU (IZ EVIDENCIJSKIH PRIHODA)</v>
      </c>
      <c r="I53" s="182">
        <v>77000</v>
      </c>
      <c r="J53" s="182">
        <v>79000</v>
      </c>
      <c r="K53" s="182">
        <v>78000</v>
      </c>
      <c r="M53" s="139" t="str">
        <f t="shared" si="5"/>
        <v>321</v>
      </c>
      <c r="N53" s="139" t="str">
        <f t="shared" si="6"/>
        <v>32</v>
      </c>
      <c r="R53" s="139">
        <v>3621</v>
      </c>
      <c r="S53" s="139" t="s">
        <v>141</v>
      </c>
      <c r="U53" s="139" t="str">
        <f t="shared" si="9"/>
        <v>36</v>
      </c>
      <c r="V53" s="139" t="str">
        <f t="shared" si="10"/>
        <v>362</v>
      </c>
      <c r="X53" t="s">
        <v>2068</v>
      </c>
      <c r="Y53" t="s">
        <v>2069</v>
      </c>
    </row>
    <row r="54" spans="1:25">
      <c r="A54" s="143" t="str">
        <f>IF(C54="","",VLOOKUP('Opći dio'!$C$3,'Opći dio'!$L$6:$U$137,10,FALSE))</f>
        <v>08006</v>
      </c>
      <c r="B54" s="143" t="str">
        <f>IF(C54="","",VLOOKUP('Opći dio'!$C$3,'Opći dio'!$L$6:$U$137,9,FALSE))</f>
        <v>Sveučilišta i veleučilišta u Republici Hrvatskoj</v>
      </c>
      <c r="C54" s="149">
        <v>43</v>
      </c>
      <c r="D54" s="144" t="str">
        <f t="shared" si="2"/>
        <v>Ostali prihodi za posebne namjene</v>
      </c>
      <c r="E54" s="149">
        <v>3214</v>
      </c>
      <c r="F54" s="144" t="str">
        <f t="shared" si="3"/>
        <v>Ostale naknade troškova zaposlenima</v>
      </c>
      <c r="G54" s="183" t="s">
        <v>181</v>
      </c>
      <c r="H54" s="144" t="str">
        <f t="shared" si="4"/>
        <v>REDOVNA DJELATNOST SVEUČILIŠTA U OSIJEKU (IZ EVIDENCIJSKIH PRIHODA)</v>
      </c>
      <c r="I54" s="182">
        <v>3000</v>
      </c>
      <c r="J54" s="182">
        <v>3000</v>
      </c>
      <c r="K54" s="182">
        <v>3000</v>
      </c>
      <c r="M54" s="139" t="str">
        <f t="shared" si="5"/>
        <v>321</v>
      </c>
      <c r="N54" s="139" t="str">
        <f t="shared" si="6"/>
        <v>32</v>
      </c>
      <c r="R54" s="139">
        <v>3631</v>
      </c>
      <c r="S54" s="139" t="s">
        <v>182</v>
      </c>
      <c r="U54" s="139" t="str">
        <f t="shared" si="9"/>
        <v>36</v>
      </c>
      <c r="V54" s="139" t="str">
        <f t="shared" si="10"/>
        <v>363</v>
      </c>
      <c r="X54" t="s">
        <v>2070</v>
      </c>
      <c r="Y54" t="s">
        <v>2071</v>
      </c>
    </row>
    <row r="55" spans="1:25">
      <c r="A55" s="143" t="str">
        <f>IF(C55="","",VLOOKUP('Opći dio'!$C$3,'Opći dio'!$L$6:$U$137,10,FALSE))</f>
        <v>08006</v>
      </c>
      <c r="B55" s="143" t="str">
        <f>IF(C55="","",VLOOKUP('Opći dio'!$C$3,'Opći dio'!$L$6:$U$137,9,FALSE))</f>
        <v>Sveučilišta i veleučilišta u Republici Hrvatskoj</v>
      </c>
      <c r="C55" s="149">
        <v>43</v>
      </c>
      <c r="D55" s="144" t="str">
        <f t="shared" si="2"/>
        <v>Ostali prihodi za posebne namjene</v>
      </c>
      <c r="E55" s="149">
        <v>3221</v>
      </c>
      <c r="F55" s="144" t="str">
        <f t="shared" si="3"/>
        <v>Uredski materijal i ostali materijalni rashodi</v>
      </c>
      <c r="G55" s="183" t="s">
        <v>181</v>
      </c>
      <c r="H55" s="144" t="str">
        <f t="shared" si="4"/>
        <v>REDOVNA DJELATNOST SVEUČILIŠTA U OSIJEKU (IZ EVIDENCIJSKIH PRIHODA)</v>
      </c>
      <c r="I55" s="182">
        <v>174000</v>
      </c>
      <c r="J55" s="182">
        <v>174000</v>
      </c>
      <c r="K55" s="182">
        <v>174000</v>
      </c>
      <c r="M55" s="139" t="str">
        <f t="shared" si="5"/>
        <v>322</v>
      </c>
      <c r="N55" s="139" t="str">
        <f t="shared" si="6"/>
        <v>32</v>
      </c>
      <c r="R55" s="139">
        <v>3632</v>
      </c>
      <c r="S55" s="139" t="s">
        <v>260</v>
      </c>
      <c r="U55" s="139" t="str">
        <f t="shared" si="9"/>
        <v>36</v>
      </c>
      <c r="V55" s="139" t="str">
        <f t="shared" si="10"/>
        <v>363</v>
      </c>
      <c r="X55" t="s">
        <v>2072</v>
      </c>
      <c r="Y55" t="s">
        <v>2073</v>
      </c>
    </row>
    <row r="56" spans="1:25">
      <c r="A56" s="143" t="str">
        <f>IF(C56="","",VLOOKUP('Opći dio'!$C$3,'Opći dio'!$L$6:$U$137,10,FALSE))</f>
        <v>08006</v>
      </c>
      <c r="B56" s="143" t="str">
        <f>IF(C56="","",VLOOKUP('Opći dio'!$C$3,'Opći dio'!$L$6:$U$137,9,FALSE))</f>
        <v>Sveučilišta i veleučilišta u Republici Hrvatskoj</v>
      </c>
      <c r="C56" s="149">
        <v>43</v>
      </c>
      <c r="D56" s="144" t="str">
        <f t="shared" si="2"/>
        <v>Ostali prihodi za posebne namjene</v>
      </c>
      <c r="E56" s="149">
        <v>3223</v>
      </c>
      <c r="F56" s="144" t="str">
        <f t="shared" si="3"/>
        <v>Energija</v>
      </c>
      <c r="G56" s="183" t="s">
        <v>181</v>
      </c>
      <c r="H56" s="144" t="str">
        <f t="shared" si="4"/>
        <v>REDOVNA DJELATNOST SVEUČILIŠTA U OSIJEKU (IZ EVIDENCIJSKIH PRIHODA)</v>
      </c>
      <c r="I56" s="182">
        <v>249000</v>
      </c>
      <c r="J56" s="182">
        <v>249000</v>
      </c>
      <c r="K56" s="182">
        <v>249000</v>
      </c>
      <c r="M56" s="139" t="str">
        <f t="shared" si="5"/>
        <v>322</v>
      </c>
      <c r="N56" s="139" t="str">
        <f t="shared" si="6"/>
        <v>32</v>
      </c>
      <c r="R56" s="139">
        <v>3661</v>
      </c>
      <c r="S56" s="139" t="s">
        <v>103</v>
      </c>
      <c r="U56" s="139" t="str">
        <f t="shared" si="9"/>
        <v>36</v>
      </c>
      <c r="V56" s="139" t="str">
        <f t="shared" si="10"/>
        <v>366</v>
      </c>
      <c r="X56" t="s">
        <v>2074</v>
      </c>
      <c r="Y56" t="s">
        <v>2075</v>
      </c>
    </row>
    <row r="57" spans="1:25">
      <c r="A57" s="143" t="str">
        <f>IF(C57="","",VLOOKUP('Opći dio'!$C$3,'Opći dio'!$L$6:$U$137,10,FALSE))</f>
        <v>08006</v>
      </c>
      <c r="B57" s="143" t="str">
        <f>IF(C57="","",VLOOKUP('Opći dio'!$C$3,'Opći dio'!$L$6:$U$137,9,FALSE))</f>
        <v>Sveučilišta i veleučilišta u Republici Hrvatskoj</v>
      </c>
      <c r="C57" s="149">
        <v>43</v>
      </c>
      <c r="D57" s="144" t="str">
        <f t="shared" si="2"/>
        <v>Ostali prihodi za posebne namjene</v>
      </c>
      <c r="E57" s="149">
        <v>3224</v>
      </c>
      <c r="F57" s="144" t="str">
        <f t="shared" si="3"/>
        <v>Materijal i dijelovi za tekuće i investicijsko održavanje</v>
      </c>
      <c r="G57" s="183" t="s">
        <v>181</v>
      </c>
      <c r="H57" s="144" t="str">
        <f t="shared" si="4"/>
        <v>REDOVNA DJELATNOST SVEUČILIŠTA U OSIJEKU (IZ EVIDENCIJSKIH PRIHODA)</v>
      </c>
      <c r="I57" s="182">
        <v>54000</v>
      </c>
      <c r="J57" s="182">
        <v>54000</v>
      </c>
      <c r="K57" s="182">
        <v>54000</v>
      </c>
      <c r="M57" s="139" t="str">
        <f t="shared" si="5"/>
        <v>322</v>
      </c>
      <c r="N57" s="139" t="str">
        <f t="shared" si="6"/>
        <v>32</v>
      </c>
      <c r="R57" s="139">
        <v>3662</v>
      </c>
      <c r="S57" s="139" t="s">
        <v>186</v>
      </c>
      <c r="U57" s="139" t="str">
        <f t="shared" si="9"/>
        <v>36</v>
      </c>
      <c r="V57" s="139" t="str">
        <f t="shared" si="10"/>
        <v>366</v>
      </c>
      <c r="X57" t="s">
        <v>2076</v>
      </c>
      <c r="Y57" t="s">
        <v>2077</v>
      </c>
    </row>
    <row r="58" spans="1:25">
      <c r="A58" s="143" t="str">
        <f>IF(C58="","",VLOOKUP('Opći dio'!$C$3,'Opći dio'!$L$6:$U$137,10,FALSE))</f>
        <v>08006</v>
      </c>
      <c r="B58" s="143" t="str">
        <f>IF(C58="","",VLOOKUP('Opći dio'!$C$3,'Opći dio'!$L$6:$U$137,9,FALSE))</f>
        <v>Sveučilišta i veleučilišta u Republici Hrvatskoj</v>
      </c>
      <c r="C58" s="149">
        <v>43</v>
      </c>
      <c r="D58" s="144" t="str">
        <f t="shared" si="2"/>
        <v>Ostali prihodi za posebne namjene</v>
      </c>
      <c r="E58" s="149">
        <v>3225</v>
      </c>
      <c r="F58" s="144" t="str">
        <f t="shared" si="3"/>
        <v>Sitni inventar i auto gume</v>
      </c>
      <c r="G58" s="183" t="s">
        <v>181</v>
      </c>
      <c r="H58" s="144" t="str">
        <f t="shared" si="4"/>
        <v>REDOVNA DJELATNOST SVEUČILIŠTA U OSIJEKU (IZ EVIDENCIJSKIH PRIHODA)</v>
      </c>
      <c r="I58" s="182">
        <v>9000</v>
      </c>
      <c r="J58" s="182">
        <v>9000</v>
      </c>
      <c r="K58" s="182">
        <v>10000</v>
      </c>
      <c r="M58" s="139" t="str">
        <f t="shared" si="5"/>
        <v>322</v>
      </c>
      <c r="N58" s="139" t="str">
        <f t="shared" si="6"/>
        <v>32</v>
      </c>
      <c r="R58" s="139">
        <v>3681</v>
      </c>
      <c r="S58" s="139" t="s">
        <v>29</v>
      </c>
      <c r="U58" s="139" t="str">
        <f t="shared" si="9"/>
        <v>36</v>
      </c>
      <c r="V58" s="139" t="str">
        <f t="shared" si="10"/>
        <v>368</v>
      </c>
      <c r="X58" t="s">
        <v>2078</v>
      </c>
      <c r="Y58" t="s">
        <v>2079</v>
      </c>
    </row>
    <row r="59" spans="1:25">
      <c r="A59" s="143" t="str">
        <f>IF(C59="","",VLOOKUP('Opći dio'!$C$3,'Opći dio'!$L$6:$U$137,10,FALSE))</f>
        <v>08006</v>
      </c>
      <c r="B59" s="143" t="str">
        <f>IF(C59="","",VLOOKUP('Opći dio'!$C$3,'Opći dio'!$L$6:$U$137,9,FALSE))</f>
        <v>Sveučilišta i veleučilišta u Republici Hrvatskoj</v>
      </c>
      <c r="C59" s="149">
        <v>43</v>
      </c>
      <c r="D59" s="144" t="str">
        <f t="shared" si="2"/>
        <v>Ostali prihodi za posebne namjene</v>
      </c>
      <c r="E59" s="149">
        <v>3227</v>
      </c>
      <c r="F59" s="144" t="str">
        <f t="shared" si="3"/>
        <v>Službena, radna i zaštitna odjeća i obuća</v>
      </c>
      <c r="G59" s="183" t="s">
        <v>181</v>
      </c>
      <c r="H59" s="144" t="str">
        <f t="shared" si="4"/>
        <v>REDOVNA DJELATNOST SVEUČILIŠTA U OSIJEKU (IZ EVIDENCIJSKIH PRIHODA)</v>
      </c>
      <c r="I59" s="182">
        <v>6000</v>
      </c>
      <c r="J59" s="182">
        <v>6000</v>
      </c>
      <c r="K59" s="182">
        <v>8000</v>
      </c>
      <c r="M59" s="139" t="str">
        <f t="shared" si="5"/>
        <v>322</v>
      </c>
      <c r="N59" s="139" t="str">
        <f t="shared" si="6"/>
        <v>32</v>
      </c>
      <c r="R59" s="139">
        <v>3682</v>
      </c>
      <c r="S59" s="139" t="s">
        <v>30</v>
      </c>
      <c r="U59" s="139" t="str">
        <f t="shared" si="9"/>
        <v>36</v>
      </c>
      <c r="V59" s="139" t="str">
        <f t="shared" si="10"/>
        <v>368</v>
      </c>
      <c r="X59" t="s">
        <v>2080</v>
      </c>
      <c r="Y59" t="s">
        <v>2081</v>
      </c>
    </row>
    <row r="60" spans="1:25">
      <c r="A60" s="143" t="str">
        <f>IF(C60="","",VLOOKUP('Opći dio'!$C$3,'Opći dio'!$L$6:$U$137,10,FALSE))</f>
        <v>08006</v>
      </c>
      <c r="B60" s="143" t="str">
        <f>IF(C60="","",VLOOKUP('Opći dio'!$C$3,'Opći dio'!$L$6:$U$137,9,FALSE))</f>
        <v>Sveučilišta i veleučilišta u Republici Hrvatskoj</v>
      </c>
      <c r="C60" s="149">
        <v>43</v>
      </c>
      <c r="D60" s="144" t="str">
        <f t="shared" si="2"/>
        <v>Ostali prihodi za posebne namjene</v>
      </c>
      <c r="E60" s="149">
        <v>3231</v>
      </c>
      <c r="F60" s="144" t="str">
        <f t="shared" si="3"/>
        <v>Usluge telefona, pošte i prijevoza</v>
      </c>
      <c r="G60" s="183" t="s">
        <v>181</v>
      </c>
      <c r="H60" s="144" t="str">
        <f t="shared" si="4"/>
        <v>REDOVNA DJELATNOST SVEUČILIŠTA U OSIJEKU (IZ EVIDENCIJSKIH PRIHODA)</v>
      </c>
      <c r="I60" s="182">
        <v>119000</v>
      </c>
      <c r="J60" s="182">
        <v>119000</v>
      </c>
      <c r="K60" s="182">
        <v>122000</v>
      </c>
      <c r="M60" s="139" t="str">
        <f t="shared" si="5"/>
        <v>323</v>
      </c>
      <c r="N60" s="139" t="str">
        <f t="shared" si="6"/>
        <v>32</v>
      </c>
      <c r="R60" s="139">
        <v>3691</v>
      </c>
      <c r="S60" s="139" t="s">
        <v>108</v>
      </c>
      <c r="U60" s="139" t="str">
        <f t="shared" si="9"/>
        <v>36</v>
      </c>
      <c r="V60" s="139" t="str">
        <f t="shared" si="10"/>
        <v>369</v>
      </c>
      <c r="X60" t="s">
        <v>2082</v>
      </c>
      <c r="Y60" t="s">
        <v>2083</v>
      </c>
    </row>
    <row r="61" spans="1:25">
      <c r="A61" s="143" t="str">
        <f>IF(C61="","",VLOOKUP('Opći dio'!$C$3,'Opći dio'!$L$6:$U$137,10,FALSE))</f>
        <v>08006</v>
      </c>
      <c r="B61" s="143" t="str">
        <f>IF(C61="","",VLOOKUP('Opći dio'!$C$3,'Opći dio'!$L$6:$U$137,9,FALSE))</f>
        <v>Sveučilišta i veleučilišta u Republici Hrvatskoj</v>
      </c>
      <c r="C61" s="149">
        <v>43</v>
      </c>
      <c r="D61" s="144" t="str">
        <f t="shared" si="2"/>
        <v>Ostali prihodi za posebne namjene</v>
      </c>
      <c r="E61" s="149">
        <v>3232</v>
      </c>
      <c r="F61" s="144" t="str">
        <f t="shared" si="3"/>
        <v>Usluge tekućeg i investicijskog održavanja</v>
      </c>
      <c r="G61" s="183" t="s">
        <v>181</v>
      </c>
      <c r="H61" s="144" t="str">
        <f t="shared" si="4"/>
        <v>REDOVNA DJELATNOST SVEUČILIŠTA U OSIJEKU (IZ EVIDENCIJSKIH PRIHODA)</v>
      </c>
      <c r="I61" s="182">
        <v>525000</v>
      </c>
      <c r="J61" s="182">
        <v>265000</v>
      </c>
      <c r="K61" s="182">
        <v>310000</v>
      </c>
      <c r="M61" s="139" t="str">
        <f t="shared" si="5"/>
        <v>323</v>
      </c>
      <c r="N61" s="139" t="str">
        <f t="shared" si="6"/>
        <v>32</v>
      </c>
      <c r="R61" s="139">
        <v>3692</v>
      </c>
      <c r="S61" s="139" t="s">
        <v>180</v>
      </c>
      <c r="U61" s="139" t="str">
        <f t="shared" si="9"/>
        <v>36</v>
      </c>
      <c r="V61" s="139" t="str">
        <f t="shared" si="10"/>
        <v>369</v>
      </c>
      <c r="X61" t="s">
        <v>2084</v>
      </c>
      <c r="Y61" t="s">
        <v>2085</v>
      </c>
    </row>
    <row r="62" spans="1:25">
      <c r="A62" s="143" t="str">
        <f>IF(C62="","",VLOOKUP('Opći dio'!$C$3,'Opći dio'!$L$6:$U$137,10,FALSE))</f>
        <v>08006</v>
      </c>
      <c r="B62" s="143" t="str">
        <f>IF(C62="","",VLOOKUP('Opći dio'!$C$3,'Opći dio'!$L$6:$U$137,9,FALSE))</f>
        <v>Sveučilišta i veleučilišta u Republici Hrvatskoj</v>
      </c>
      <c r="C62" s="149">
        <v>43</v>
      </c>
      <c r="D62" s="144" t="str">
        <f t="shared" si="2"/>
        <v>Ostali prihodi za posebne namjene</v>
      </c>
      <c r="E62" s="149">
        <v>3233</v>
      </c>
      <c r="F62" s="144" t="str">
        <f t="shared" si="3"/>
        <v>Usluge promidžbe i informiranja</v>
      </c>
      <c r="G62" s="183" t="s">
        <v>181</v>
      </c>
      <c r="H62" s="144" t="str">
        <f t="shared" si="4"/>
        <v>REDOVNA DJELATNOST SVEUČILIŠTA U OSIJEKU (IZ EVIDENCIJSKIH PRIHODA)</v>
      </c>
      <c r="I62" s="182">
        <v>179000</v>
      </c>
      <c r="J62" s="182">
        <v>183000</v>
      </c>
      <c r="K62" s="182">
        <v>195000</v>
      </c>
      <c r="M62" s="139" t="str">
        <f t="shared" si="5"/>
        <v>323</v>
      </c>
      <c r="N62" s="139" t="str">
        <f t="shared" si="6"/>
        <v>32</v>
      </c>
      <c r="R62" s="139">
        <v>3693</v>
      </c>
      <c r="S62" s="139" t="s">
        <v>108</v>
      </c>
      <c r="U62" s="139" t="str">
        <f t="shared" si="9"/>
        <v>36</v>
      </c>
      <c r="V62" s="139" t="str">
        <f t="shared" si="10"/>
        <v>369</v>
      </c>
      <c r="X62" t="s">
        <v>2087</v>
      </c>
      <c r="Y62" t="s">
        <v>2088</v>
      </c>
    </row>
    <row r="63" spans="1:25">
      <c r="A63" s="143" t="str">
        <f>IF(C63="","",VLOOKUP('Opći dio'!$C$3,'Opći dio'!$L$6:$U$137,10,FALSE))</f>
        <v>08006</v>
      </c>
      <c r="B63" s="143" t="str">
        <f>IF(C63="","",VLOOKUP('Opći dio'!$C$3,'Opći dio'!$L$6:$U$137,9,FALSE))</f>
        <v>Sveučilišta i veleučilišta u Republici Hrvatskoj</v>
      </c>
      <c r="C63" s="149">
        <v>43</v>
      </c>
      <c r="D63" s="144" t="str">
        <f t="shared" si="2"/>
        <v>Ostali prihodi za posebne namjene</v>
      </c>
      <c r="E63" s="149">
        <v>3234</v>
      </c>
      <c r="F63" s="144" t="str">
        <f t="shared" si="3"/>
        <v>Komunalne usluge</v>
      </c>
      <c r="G63" s="183" t="s">
        <v>181</v>
      </c>
      <c r="H63" s="144" t="str">
        <f t="shared" si="4"/>
        <v>REDOVNA DJELATNOST SVEUČILIŠTA U OSIJEKU (IZ EVIDENCIJSKIH PRIHODA)</v>
      </c>
      <c r="I63" s="182">
        <v>53000</v>
      </c>
      <c r="J63" s="182">
        <v>53000</v>
      </c>
      <c r="K63" s="182">
        <v>53000</v>
      </c>
      <c r="M63" s="139" t="str">
        <f t="shared" si="5"/>
        <v>323</v>
      </c>
      <c r="N63" s="139" t="str">
        <f t="shared" si="6"/>
        <v>32</v>
      </c>
      <c r="R63" s="139">
        <v>3694</v>
      </c>
      <c r="S63" s="139" t="s">
        <v>180</v>
      </c>
      <c r="U63" s="139" t="str">
        <f t="shared" si="9"/>
        <v>36</v>
      </c>
      <c r="V63" s="139" t="str">
        <f t="shared" si="10"/>
        <v>369</v>
      </c>
      <c r="X63" t="s">
        <v>2089</v>
      </c>
      <c r="Y63" t="s">
        <v>2090</v>
      </c>
    </row>
    <row r="64" spans="1:25">
      <c r="A64" s="143" t="str">
        <f>IF(C64="","",VLOOKUP('Opći dio'!$C$3,'Opći dio'!$L$6:$U$137,10,FALSE))</f>
        <v>08006</v>
      </c>
      <c r="B64" s="143" t="str">
        <f>IF(C64="","",VLOOKUP('Opći dio'!$C$3,'Opći dio'!$L$6:$U$137,9,FALSE))</f>
        <v>Sveučilišta i veleučilišta u Republici Hrvatskoj</v>
      </c>
      <c r="C64" s="149">
        <v>43</v>
      </c>
      <c r="D64" s="144" t="str">
        <f t="shared" si="2"/>
        <v>Ostali prihodi za posebne namjene</v>
      </c>
      <c r="E64" s="149">
        <v>3235</v>
      </c>
      <c r="F64" s="144" t="str">
        <f t="shared" si="3"/>
        <v>Zakupnine i najamnine</v>
      </c>
      <c r="G64" s="183" t="s">
        <v>181</v>
      </c>
      <c r="H64" s="144" t="str">
        <f t="shared" si="4"/>
        <v>REDOVNA DJELATNOST SVEUČILIŠTA U OSIJEKU (IZ EVIDENCIJSKIH PRIHODA)</v>
      </c>
      <c r="I64" s="182">
        <v>209000</v>
      </c>
      <c r="J64" s="182">
        <v>209000</v>
      </c>
      <c r="K64" s="182">
        <v>209000</v>
      </c>
      <c r="M64" s="139" t="str">
        <f t="shared" si="5"/>
        <v>323</v>
      </c>
      <c r="N64" s="139" t="str">
        <f t="shared" si="6"/>
        <v>32</v>
      </c>
      <c r="R64" s="139">
        <v>3711</v>
      </c>
      <c r="S64" s="139" t="s">
        <v>127</v>
      </c>
      <c r="U64" s="139" t="str">
        <f t="shared" si="9"/>
        <v>37</v>
      </c>
      <c r="V64" s="139" t="str">
        <f t="shared" si="10"/>
        <v>371</v>
      </c>
      <c r="X64" t="s">
        <v>2091</v>
      </c>
      <c r="Y64" t="s">
        <v>2092</v>
      </c>
    </row>
    <row r="65" spans="1:25">
      <c r="A65" s="143" t="str">
        <f>IF(C65="","",VLOOKUP('Opći dio'!$C$3,'Opći dio'!$L$6:$U$137,10,FALSE))</f>
        <v>08006</v>
      </c>
      <c r="B65" s="143" t="str">
        <f>IF(C65="","",VLOOKUP('Opći dio'!$C$3,'Opći dio'!$L$6:$U$137,9,FALSE))</f>
        <v>Sveučilišta i veleučilišta u Republici Hrvatskoj</v>
      </c>
      <c r="C65" s="149">
        <v>43</v>
      </c>
      <c r="D65" s="144" t="str">
        <f t="shared" si="2"/>
        <v>Ostali prihodi za posebne namjene</v>
      </c>
      <c r="E65" s="149">
        <v>3236</v>
      </c>
      <c r="F65" s="144" t="str">
        <f t="shared" si="3"/>
        <v>Zdravstvene i veterinarske usluge</v>
      </c>
      <c r="G65" s="183" t="s">
        <v>181</v>
      </c>
      <c r="H65" s="144" t="str">
        <f t="shared" si="4"/>
        <v>REDOVNA DJELATNOST SVEUČILIŠTA U OSIJEKU (IZ EVIDENCIJSKIH PRIHODA)</v>
      </c>
      <c r="I65" s="182">
        <v>23000</v>
      </c>
      <c r="J65" s="182">
        <v>23000</v>
      </c>
      <c r="K65" s="182">
        <v>23000</v>
      </c>
      <c r="M65" s="139" t="str">
        <f t="shared" si="5"/>
        <v>323</v>
      </c>
      <c r="N65" s="139" t="str">
        <f t="shared" si="6"/>
        <v>32</v>
      </c>
      <c r="R65" s="139">
        <v>3712</v>
      </c>
      <c r="S65" s="139" t="s">
        <v>145</v>
      </c>
      <c r="U65" s="139" t="str">
        <f t="shared" si="9"/>
        <v>37</v>
      </c>
      <c r="V65" s="139" t="str">
        <f t="shared" si="10"/>
        <v>371</v>
      </c>
      <c r="X65" t="s">
        <v>2093</v>
      </c>
      <c r="Y65" t="s">
        <v>2094</v>
      </c>
    </row>
    <row r="66" spans="1:25">
      <c r="A66" s="143" t="str">
        <f>IF(C66="","",VLOOKUP('Opći dio'!$C$3,'Opći dio'!$L$6:$U$137,10,FALSE))</f>
        <v>08006</v>
      </c>
      <c r="B66" s="143" t="str">
        <f>IF(C66="","",VLOOKUP('Opći dio'!$C$3,'Opći dio'!$L$6:$U$137,9,FALSE))</f>
        <v>Sveučilišta i veleučilišta u Republici Hrvatskoj</v>
      </c>
      <c r="C66" s="149">
        <v>43</v>
      </c>
      <c r="D66" s="144" t="str">
        <f t="shared" si="2"/>
        <v>Ostali prihodi za posebne namjene</v>
      </c>
      <c r="E66" s="149">
        <v>3237</v>
      </c>
      <c r="F66" s="144" t="str">
        <f t="shared" si="3"/>
        <v>Intelektualne i osobne usluge</v>
      </c>
      <c r="G66" s="183" t="s">
        <v>181</v>
      </c>
      <c r="H66" s="144" t="str">
        <f t="shared" si="4"/>
        <v>REDOVNA DJELATNOST SVEUČILIŠTA U OSIJEKU (IZ EVIDENCIJSKIH PRIHODA)</v>
      </c>
      <c r="I66" s="182">
        <v>583770</v>
      </c>
      <c r="J66" s="182">
        <v>585770</v>
      </c>
      <c r="K66" s="182">
        <v>585770</v>
      </c>
      <c r="M66" s="139" t="str">
        <f t="shared" si="5"/>
        <v>323</v>
      </c>
      <c r="N66" s="139" t="str">
        <f t="shared" si="6"/>
        <v>32</v>
      </c>
      <c r="R66" s="139">
        <v>3713</v>
      </c>
      <c r="S66" s="139" t="s">
        <v>172</v>
      </c>
      <c r="U66" s="139" t="str">
        <f t="shared" si="9"/>
        <v>37</v>
      </c>
      <c r="V66" s="139" t="str">
        <f t="shared" si="10"/>
        <v>371</v>
      </c>
      <c r="X66" t="s">
        <v>2095</v>
      </c>
      <c r="Y66" t="s">
        <v>2096</v>
      </c>
    </row>
    <row r="67" spans="1:25">
      <c r="A67" s="143" t="str">
        <f>IF(C67="","",VLOOKUP('Opći dio'!$C$3,'Opći dio'!$L$6:$U$137,10,FALSE))</f>
        <v>08006</v>
      </c>
      <c r="B67" s="143" t="str">
        <f>IF(C67="","",VLOOKUP('Opći dio'!$C$3,'Opći dio'!$L$6:$U$137,9,FALSE))</f>
        <v>Sveučilišta i veleučilišta u Republici Hrvatskoj</v>
      </c>
      <c r="C67" s="149">
        <v>43</v>
      </c>
      <c r="D67" s="144" t="str">
        <f t="shared" si="2"/>
        <v>Ostali prihodi za posebne namjene</v>
      </c>
      <c r="E67" s="149">
        <v>3238</v>
      </c>
      <c r="F67" s="144" t="str">
        <f t="shared" si="3"/>
        <v>Računalne usluge</v>
      </c>
      <c r="G67" s="183" t="s">
        <v>181</v>
      </c>
      <c r="H67" s="144" t="str">
        <f t="shared" si="4"/>
        <v>REDOVNA DJELATNOST SVEUČILIŠTA U OSIJEKU (IZ EVIDENCIJSKIH PRIHODA)</v>
      </c>
      <c r="I67" s="182">
        <v>20000</v>
      </c>
      <c r="J67" s="182">
        <v>20000</v>
      </c>
      <c r="K67" s="182">
        <v>20000</v>
      </c>
      <c r="M67" s="139" t="str">
        <f t="shared" si="5"/>
        <v>323</v>
      </c>
      <c r="N67" s="139" t="str">
        <f t="shared" si="6"/>
        <v>32</v>
      </c>
      <c r="R67" s="139">
        <v>3714</v>
      </c>
      <c r="S67" s="139" t="s">
        <v>193</v>
      </c>
      <c r="U67" s="139" t="str">
        <f t="shared" si="9"/>
        <v>37</v>
      </c>
      <c r="V67" s="139" t="str">
        <f t="shared" si="10"/>
        <v>371</v>
      </c>
      <c r="X67" t="s">
        <v>2097</v>
      </c>
      <c r="Y67" t="s">
        <v>2098</v>
      </c>
    </row>
    <row r="68" spans="1:25">
      <c r="A68" s="143" t="str">
        <f>IF(C68="","",VLOOKUP('Opći dio'!$C$3,'Opći dio'!$L$6:$U$137,10,FALSE))</f>
        <v>08006</v>
      </c>
      <c r="B68" s="143" t="str">
        <f>IF(C68="","",VLOOKUP('Opći dio'!$C$3,'Opći dio'!$L$6:$U$137,9,FALSE))</f>
        <v>Sveučilišta i veleučilišta u Republici Hrvatskoj</v>
      </c>
      <c r="C68" s="149">
        <v>43</v>
      </c>
      <c r="D68" s="144" t="str">
        <f t="shared" ref="D68:D131" si="11">IFERROR(VLOOKUP(C68,$O$6:$P$23,2,FALSE),"")</f>
        <v>Ostali prihodi za posebne namjene</v>
      </c>
      <c r="E68" s="149">
        <v>3239</v>
      </c>
      <c r="F68" s="144" t="str">
        <f t="shared" ref="F68:F131" si="12">IFERROR(VLOOKUP(E68,$R$5:$T$129,2,FALSE),"")</f>
        <v>Ostale usluge</v>
      </c>
      <c r="G68" s="183" t="s">
        <v>181</v>
      </c>
      <c r="H68" s="144" t="str">
        <f t="shared" ref="H68:H131" si="13">IFERROR(VLOOKUP(G68,$X$6:$Y$297,2,FALSE),"")</f>
        <v>REDOVNA DJELATNOST SVEUČILIŠTA U OSIJEKU (IZ EVIDENCIJSKIH PRIHODA)</v>
      </c>
      <c r="I68" s="182">
        <v>34000</v>
      </c>
      <c r="J68" s="182">
        <v>56000</v>
      </c>
      <c r="K68" s="182">
        <v>66000</v>
      </c>
      <c r="M68" s="139" t="str">
        <f t="shared" ref="M68:M131" si="14">LEFT(E68,3)</f>
        <v>323</v>
      </c>
      <c r="N68" s="139" t="str">
        <f t="shared" ref="N68:N131" si="15">LEFT(E68,2)</f>
        <v>32</v>
      </c>
      <c r="R68" s="139">
        <v>3715</v>
      </c>
      <c r="S68" s="139" t="s">
        <v>131</v>
      </c>
      <c r="U68" s="139" t="str">
        <f t="shared" si="9"/>
        <v>37</v>
      </c>
      <c r="V68" s="139" t="str">
        <f t="shared" si="10"/>
        <v>371</v>
      </c>
      <c r="X68" t="s">
        <v>2101</v>
      </c>
      <c r="Y68" t="s">
        <v>2102</v>
      </c>
    </row>
    <row r="69" spans="1:25">
      <c r="A69" s="143" t="str">
        <f>IF(C69="","",VLOOKUP('Opći dio'!$C$3,'Opći dio'!$L$6:$U$137,10,FALSE))</f>
        <v>08006</v>
      </c>
      <c r="B69" s="143" t="str">
        <f>IF(C69="","",VLOOKUP('Opći dio'!$C$3,'Opći dio'!$L$6:$U$137,9,FALSE))</f>
        <v>Sveučilišta i veleučilišta u Republici Hrvatskoj</v>
      </c>
      <c r="C69" s="149">
        <v>43</v>
      </c>
      <c r="D69" s="144" t="str">
        <f t="shared" si="11"/>
        <v>Ostali prihodi za posebne namjene</v>
      </c>
      <c r="E69" s="149">
        <v>3241</v>
      </c>
      <c r="F69" s="144" t="str">
        <f t="shared" si="12"/>
        <v>Naknade troškova osobama izvan radnog odnosa</v>
      </c>
      <c r="G69" s="183" t="s">
        <v>181</v>
      </c>
      <c r="H69" s="144" t="str">
        <f t="shared" si="13"/>
        <v>REDOVNA DJELATNOST SVEUČILIŠTA U OSIJEKU (IZ EVIDENCIJSKIH PRIHODA)</v>
      </c>
      <c r="I69" s="182">
        <v>172000</v>
      </c>
      <c r="J69" s="182">
        <v>160000</v>
      </c>
      <c r="K69" s="182">
        <v>187000</v>
      </c>
      <c r="M69" s="139" t="str">
        <f t="shared" si="14"/>
        <v>324</v>
      </c>
      <c r="N69" s="139" t="str">
        <f t="shared" si="15"/>
        <v>32</v>
      </c>
      <c r="R69" s="139">
        <v>3721</v>
      </c>
      <c r="S69" s="139" t="s">
        <v>69</v>
      </c>
      <c r="U69" s="139" t="str">
        <f t="shared" si="9"/>
        <v>37</v>
      </c>
      <c r="V69" s="139" t="str">
        <f t="shared" si="10"/>
        <v>372</v>
      </c>
      <c r="X69" t="s">
        <v>1082</v>
      </c>
      <c r="Y69" t="s">
        <v>1083</v>
      </c>
    </row>
    <row r="70" spans="1:25">
      <c r="A70" s="143" t="str">
        <f>IF(C70="","",VLOOKUP('Opći dio'!$C$3,'Opći dio'!$L$6:$U$137,10,FALSE))</f>
        <v>08006</v>
      </c>
      <c r="B70" s="143" t="str">
        <f>IF(C70="","",VLOOKUP('Opći dio'!$C$3,'Opći dio'!$L$6:$U$137,9,FALSE))</f>
        <v>Sveučilišta i veleučilišta u Republici Hrvatskoj</v>
      </c>
      <c r="C70" s="149">
        <v>43</v>
      </c>
      <c r="D70" s="144" t="str">
        <f t="shared" si="11"/>
        <v>Ostali prihodi za posebne namjene</v>
      </c>
      <c r="E70" s="149">
        <v>3292</v>
      </c>
      <c r="F70" s="144" t="str">
        <f t="shared" si="12"/>
        <v>Premije osiguranja</v>
      </c>
      <c r="G70" s="183" t="s">
        <v>181</v>
      </c>
      <c r="H70" s="144" t="str">
        <f t="shared" si="13"/>
        <v>REDOVNA DJELATNOST SVEUČILIŠTA U OSIJEKU (IZ EVIDENCIJSKIH PRIHODA)</v>
      </c>
      <c r="I70" s="182">
        <v>6000</v>
      </c>
      <c r="J70" s="182">
        <v>6000</v>
      </c>
      <c r="K70" s="182">
        <v>7000</v>
      </c>
      <c r="M70" s="139" t="str">
        <f t="shared" si="14"/>
        <v>329</v>
      </c>
      <c r="N70" s="139" t="str">
        <f t="shared" si="15"/>
        <v>32</v>
      </c>
      <c r="R70" s="139">
        <v>3722</v>
      </c>
      <c r="S70" s="139" t="s">
        <v>154</v>
      </c>
      <c r="U70" s="139" t="str">
        <f t="shared" si="9"/>
        <v>37</v>
      </c>
      <c r="V70" s="139" t="str">
        <f t="shared" si="10"/>
        <v>372</v>
      </c>
      <c r="X70" t="s">
        <v>1084</v>
      </c>
      <c r="Y70" t="s">
        <v>1085</v>
      </c>
    </row>
    <row r="71" spans="1:25">
      <c r="A71" s="143" t="str">
        <f>IF(C71="","",VLOOKUP('Opći dio'!$C$3,'Opći dio'!$L$6:$U$137,10,FALSE))</f>
        <v>08006</v>
      </c>
      <c r="B71" s="143" t="str">
        <f>IF(C71="","",VLOOKUP('Opći dio'!$C$3,'Opći dio'!$L$6:$U$137,9,FALSE))</f>
        <v>Sveučilišta i veleučilišta u Republici Hrvatskoj</v>
      </c>
      <c r="C71" s="149">
        <v>43</v>
      </c>
      <c r="D71" s="144" t="str">
        <f t="shared" si="11"/>
        <v>Ostali prihodi za posebne namjene</v>
      </c>
      <c r="E71" s="149">
        <v>3293</v>
      </c>
      <c r="F71" s="144" t="str">
        <f t="shared" si="12"/>
        <v>Reprezentacija</v>
      </c>
      <c r="G71" s="183" t="s">
        <v>181</v>
      </c>
      <c r="H71" s="144" t="str">
        <f t="shared" si="13"/>
        <v>REDOVNA DJELATNOST SVEUČILIŠTA U OSIJEKU (IZ EVIDENCIJSKIH PRIHODA)</v>
      </c>
      <c r="I71" s="182">
        <v>72000</v>
      </c>
      <c r="J71" s="182">
        <v>111000</v>
      </c>
      <c r="K71" s="182">
        <v>121000</v>
      </c>
      <c r="M71" s="139" t="str">
        <f t="shared" si="14"/>
        <v>329</v>
      </c>
      <c r="N71" s="139" t="str">
        <f t="shared" si="15"/>
        <v>32</v>
      </c>
      <c r="R71" s="139">
        <v>3723</v>
      </c>
      <c r="S71" s="139" t="s">
        <v>109</v>
      </c>
      <c r="U71" s="139" t="str">
        <f t="shared" si="9"/>
        <v>37</v>
      </c>
      <c r="V71" s="139" t="str">
        <f t="shared" si="10"/>
        <v>372</v>
      </c>
      <c r="X71" t="s">
        <v>2103</v>
      </c>
      <c r="Y71" t="s">
        <v>2104</v>
      </c>
    </row>
    <row r="72" spans="1:25">
      <c r="A72" s="143" t="str">
        <f>IF(C72="","",VLOOKUP('Opći dio'!$C$3,'Opći dio'!$L$6:$U$137,10,FALSE))</f>
        <v>08006</v>
      </c>
      <c r="B72" s="143" t="str">
        <f>IF(C72="","",VLOOKUP('Opći dio'!$C$3,'Opći dio'!$L$6:$U$137,9,FALSE))</f>
        <v>Sveučilišta i veleučilišta u Republici Hrvatskoj</v>
      </c>
      <c r="C72" s="149">
        <v>43</v>
      </c>
      <c r="D72" s="144" t="str">
        <f t="shared" si="11"/>
        <v>Ostali prihodi za posebne namjene</v>
      </c>
      <c r="E72" s="149">
        <v>3294</v>
      </c>
      <c r="F72" s="144" t="str">
        <f t="shared" si="12"/>
        <v>Članarine i norme</v>
      </c>
      <c r="G72" s="183" t="s">
        <v>181</v>
      </c>
      <c r="H72" s="144" t="str">
        <f t="shared" si="13"/>
        <v>REDOVNA DJELATNOST SVEUČILIŠTA U OSIJEKU (IZ EVIDENCIJSKIH PRIHODA)</v>
      </c>
      <c r="I72" s="182">
        <v>42000</v>
      </c>
      <c r="J72" s="182">
        <v>42000</v>
      </c>
      <c r="K72" s="182">
        <v>42000</v>
      </c>
      <c r="M72" s="139" t="str">
        <f t="shared" si="14"/>
        <v>329</v>
      </c>
      <c r="N72" s="139" t="str">
        <f t="shared" si="15"/>
        <v>32</v>
      </c>
      <c r="R72" s="139">
        <v>3811</v>
      </c>
      <c r="S72" s="139" t="s">
        <v>59</v>
      </c>
      <c r="U72" s="139" t="str">
        <f t="shared" si="9"/>
        <v>38</v>
      </c>
      <c r="V72" s="139" t="str">
        <f t="shared" si="10"/>
        <v>381</v>
      </c>
      <c r="X72" t="s">
        <v>2105</v>
      </c>
      <c r="Y72" t="s">
        <v>2106</v>
      </c>
    </row>
    <row r="73" spans="1:25">
      <c r="A73" s="143" t="str">
        <f>IF(C73="","",VLOOKUP('Opći dio'!$C$3,'Opći dio'!$L$6:$U$137,10,FALSE))</f>
        <v>08006</v>
      </c>
      <c r="B73" s="143" t="str">
        <f>IF(C73="","",VLOOKUP('Opći dio'!$C$3,'Opći dio'!$L$6:$U$137,9,FALSE))</f>
        <v>Sveučilišta i veleučilišta u Republici Hrvatskoj</v>
      </c>
      <c r="C73" s="149">
        <v>43</v>
      </c>
      <c r="D73" s="144" t="str">
        <f t="shared" si="11"/>
        <v>Ostali prihodi za posebne namjene</v>
      </c>
      <c r="E73" s="149">
        <v>3295</v>
      </c>
      <c r="F73" s="144" t="str">
        <f t="shared" si="12"/>
        <v>Pristojbe i naknade</v>
      </c>
      <c r="G73" s="183" t="s">
        <v>181</v>
      </c>
      <c r="H73" s="144" t="str">
        <f t="shared" si="13"/>
        <v>REDOVNA DJELATNOST SVEUČILIŠTA U OSIJEKU (IZ EVIDENCIJSKIH PRIHODA)</v>
      </c>
      <c r="I73" s="182">
        <v>7000</v>
      </c>
      <c r="J73" s="182">
        <v>7000</v>
      </c>
      <c r="K73" s="182">
        <v>9000</v>
      </c>
      <c r="M73" s="139" t="str">
        <f t="shared" si="14"/>
        <v>329</v>
      </c>
      <c r="N73" s="139" t="str">
        <f t="shared" si="15"/>
        <v>32</v>
      </c>
      <c r="R73" s="139">
        <v>3812</v>
      </c>
      <c r="S73" s="139" t="s">
        <v>155</v>
      </c>
      <c r="U73" s="139" t="str">
        <f t="shared" si="9"/>
        <v>38</v>
      </c>
      <c r="V73" s="139" t="str">
        <f t="shared" si="10"/>
        <v>381</v>
      </c>
      <c r="X73" t="s">
        <v>2107</v>
      </c>
      <c r="Y73" t="s">
        <v>2108</v>
      </c>
    </row>
    <row r="74" spans="1:25">
      <c r="A74" s="143" t="str">
        <f>IF(C74="","",VLOOKUP('Opći dio'!$C$3,'Opći dio'!$L$6:$U$137,10,FALSE))</f>
        <v>08006</v>
      </c>
      <c r="B74" s="143" t="str">
        <f>IF(C74="","",VLOOKUP('Opći dio'!$C$3,'Opći dio'!$L$6:$U$137,9,FALSE))</f>
        <v>Sveučilišta i veleučilišta u Republici Hrvatskoj</v>
      </c>
      <c r="C74" s="149">
        <v>43</v>
      </c>
      <c r="D74" s="144" t="str">
        <f t="shared" si="11"/>
        <v>Ostali prihodi za posebne namjene</v>
      </c>
      <c r="E74" s="149">
        <v>3299</v>
      </c>
      <c r="F74" s="144" t="str">
        <f t="shared" si="12"/>
        <v>Ostali nespomenuti rashodi poslovanja</v>
      </c>
      <c r="G74" s="183" t="s">
        <v>181</v>
      </c>
      <c r="H74" s="144" t="str">
        <f t="shared" si="13"/>
        <v>REDOVNA DJELATNOST SVEUČILIŠTA U OSIJEKU (IZ EVIDENCIJSKIH PRIHODA)</v>
      </c>
      <c r="I74" s="182">
        <v>152000</v>
      </c>
      <c r="J74" s="182">
        <v>153000</v>
      </c>
      <c r="K74" s="182">
        <v>153000</v>
      </c>
      <c r="M74" s="139" t="str">
        <f t="shared" si="14"/>
        <v>329</v>
      </c>
      <c r="N74" s="139" t="str">
        <f t="shared" si="15"/>
        <v>32</v>
      </c>
      <c r="R74" s="139">
        <v>3813</v>
      </c>
      <c r="S74" s="139" t="s">
        <v>98</v>
      </c>
      <c r="U74" s="139" t="str">
        <f t="shared" ref="U74:U80" si="16">LEFT(R74,2)</f>
        <v>38</v>
      </c>
      <c r="V74" s="139" t="str">
        <f t="shared" ref="V74:V80" si="17">LEFT(R74,3)</f>
        <v>381</v>
      </c>
      <c r="X74" t="s">
        <v>2109</v>
      </c>
      <c r="Y74" t="s">
        <v>2110</v>
      </c>
    </row>
    <row r="75" spans="1:25">
      <c r="A75" s="143" t="str">
        <f>IF(C75="","",VLOOKUP('Opći dio'!$C$3,'Opći dio'!$L$6:$U$137,10,FALSE))</f>
        <v>08006</v>
      </c>
      <c r="B75" s="143" t="str">
        <f>IF(C75="","",VLOOKUP('Opći dio'!$C$3,'Opći dio'!$L$6:$U$137,9,FALSE))</f>
        <v>Sveučilišta i veleučilišta u Republici Hrvatskoj</v>
      </c>
      <c r="C75" s="149">
        <v>43</v>
      </c>
      <c r="D75" s="144" t="str">
        <f t="shared" si="11"/>
        <v>Ostali prihodi za posebne namjene</v>
      </c>
      <c r="E75" s="149">
        <v>3431</v>
      </c>
      <c r="F75" s="144" t="str">
        <f t="shared" si="12"/>
        <v>Bankarske usluge i usluge platnog prometa</v>
      </c>
      <c r="G75" s="183" t="s">
        <v>181</v>
      </c>
      <c r="H75" s="144" t="str">
        <f t="shared" si="13"/>
        <v>REDOVNA DJELATNOST SVEUČILIŠTA U OSIJEKU (IZ EVIDENCIJSKIH PRIHODA)</v>
      </c>
      <c r="I75" s="182">
        <v>134000</v>
      </c>
      <c r="J75" s="182">
        <v>134000</v>
      </c>
      <c r="K75" s="182">
        <v>132000</v>
      </c>
      <c r="M75" s="139" t="str">
        <f t="shared" si="14"/>
        <v>343</v>
      </c>
      <c r="N75" s="139" t="str">
        <f t="shared" si="15"/>
        <v>34</v>
      </c>
      <c r="R75" s="139">
        <v>3821</v>
      </c>
      <c r="S75" s="139" t="s">
        <v>173</v>
      </c>
      <c r="U75" s="139" t="str">
        <f t="shared" si="16"/>
        <v>38</v>
      </c>
      <c r="V75" s="139" t="str">
        <f t="shared" si="17"/>
        <v>382</v>
      </c>
      <c r="X75" t="s">
        <v>1836</v>
      </c>
      <c r="Y75" t="s">
        <v>1837</v>
      </c>
    </row>
    <row r="76" spans="1:25">
      <c r="A76" s="143" t="str">
        <f>IF(C76="","",VLOOKUP('Opći dio'!$C$3,'Opći dio'!$L$6:$U$137,10,FALSE))</f>
        <v>08006</v>
      </c>
      <c r="B76" s="143" t="str">
        <f>IF(C76="","",VLOOKUP('Opći dio'!$C$3,'Opći dio'!$L$6:$U$137,9,FALSE))</f>
        <v>Sveučilišta i veleučilišta u Republici Hrvatskoj</v>
      </c>
      <c r="C76" s="149">
        <v>43</v>
      </c>
      <c r="D76" s="144" t="str">
        <f t="shared" si="11"/>
        <v>Ostali prihodi za posebne namjene</v>
      </c>
      <c r="E76" s="149">
        <v>3434</v>
      </c>
      <c r="F76" s="144" t="str">
        <f t="shared" si="12"/>
        <v>Ostali nespomenuti financijski rashodi</v>
      </c>
      <c r="G76" s="183" t="s">
        <v>181</v>
      </c>
      <c r="H76" s="144" t="str">
        <f t="shared" si="13"/>
        <v>REDOVNA DJELATNOST SVEUČILIŠTA U OSIJEKU (IZ EVIDENCIJSKIH PRIHODA)</v>
      </c>
      <c r="I76" s="182">
        <v>3000</v>
      </c>
      <c r="J76" s="182">
        <v>3000</v>
      </c>
      <c r="K76" s="182">
        <v>3000</v>
      </c>
      <c r="M76" s="139" t="str">
        <f t="shared" si="14"/>
        <v>343</v>
      </c>
      <c r="N76" s="139" t="str">
        <f t="shared" si="15"/>
        <v>34</v>
      </c>
      <c r="R76" s="139">
        <v>3831</v>
      </c>
      <c r="S76" s="139" t="s">
        <v>156</v>
      </c>
      <c r="U76" s="139" t="str">
        <f t="shared" si="16"/>
        <v>38</v>
      </c>
      <c r="V76" s="139" t="str">
        <f t="shared" si="17"/>
        <v>383</v>
      </c>
      <c r="X76" t="s">
        <v>2111</v>
      </c>
      <c r="Y76" t="s">
        <v>2112</v>
      </c>
    </row>
    <row r="77" spans="1:25">
      <c r="A77" s="143" t="str">
        <f>IF(C77="","",VLOOKUP('Opći dio'!$C$3,'Opći dio'!$L$6:$U$137,10,FALSE))</f>
        <v>08006</v>
      </c>
      <c r="B77" s="143" t="str">
        <f>IF(C77="","",VLOOKUP('Opći dio'!$C$3,'Opći dio'!$L$6:$U$137,9,FALSE))</f>
        <v>Sveučilišta i veleučilišta u Republici Hrvatskoj</v>
      </c>
      <c r="C77" s="149">
        <v>43</v>
      </c>
      <c r="D77" s="144" t="str">
        <f t="shared" si="11"/>
        <v>Ostali prihodi za posebne namjene</v>
      </c>
      <c r="E77" s="149">
        <v>3433</v>
      </c>
      <c r="F77" s="144" t="str">
        <f t="shared" si="12"/>
        <v>Zatezne kamate</v>
      </c>
      <c r="G77" s="183" t="s">
        <v>181</v>
      </c>
      <c r="H77" s="144" t="str">
        <f t="shared" si="13"/>
        <v>REDOVNA DJELATNOST SVEUČILIŠTA U OSIJEKU (IZ EVIDENCIJSKIH PRIHODA)</v>
      </c>
      <c r="I77" s="182">
        <v>1000</v>
      </c>
      <c r="J77" s="182">
        <v>1000</v>
      </c>
      <c r="K77" s="182">
        <v>2000</v>
      </c>
      <c r="M77" s="139" t="str">
        <f t="shared" si="14"/>
        <v>343</v>
      </c>
      <c r="N77" s="139" t="str">
        <f t="shared" si="15"/>
        <v>34</v>
      </c>
      <c r="R77" s="139">
        <v>3832</v>
      </c>
      <c r="S77" s="139" t="s">
        <v>196</v>
      </c>
      <c r="U77" s="139" t="str">
        <f t="shared" si="16"/>
        <v>38</v>
      </c>
      <c r="V77" s="139" t="str">
        <f t="shared" si="17"/>
        <v>383</v>
      </c>
      <c r="X77" t="s">
        <v>2113</v>
      </c>
      <c r="Y77" t="s">
        <v>2114</v>
      </c>
    </row>
    <row r="78" spans="1:25">
      <c r="A78" s="143" t="str">
        <f>IF(C78="","",VLOOKUP('Opći dio'!$C$3,'Opći dio'!$L$6:$U$137,10,FALSE))</f>
        <v>08006</v>
      </c>
      <c r="B78" s="143" t="str">
        <f>IF(C78="","",VLOOKUP('Opći dio'!$C$3,'Opći dio'!$L$6:$U$137,9,FALSE))</f>
        <v>Sveučilišta i veleučilišta u Republici Hrvatskoj</v>
      </c>
      <c r="C78" s="149">
        <v>43</v>
      </c>
      <c r="D78" s="144" t="str">
        <f t="shared" si="11"/>
        <v>Ostali prihodi za posebne namjene</v>
      </c>
      <c r="E78" s="149">
        <v>3721</v>
      </c>
      <c r="F78" s="144" t="str">
        <f t="shared" si="12"/>
        <v>Naknade građanima i kućanstvima u novcu</v>
      </c>
      <c r="G78" s="183" t="s">
        <v>181</v>
      </c>
      <c r="H78" s="144" t="str">
        <f t="shared" si="13"/>
        <v>REDOVNA DJELATNOST SVEUČILIŠTA U OSIJEKU (IZ EVIDENCIJSKIH PRIHODA)</v>
      </c>
      <c r="I78" s="182">
        <v>25000</v>
      </c>
      <c r="J78" s="182">
        <v>25000</v>
      </c>
      <c r="K78" s="182">
        <v>30000</v>
      </c>
      <c r="M78" s="139" t="str">
        <f t="shared" si="14"/>
        <v>372</v>
      </c>
      <c r="N78" s="139" t="str">
        <f t="shared" si="15"/>
        <v>37</v>
      </c>
      <c r="R78" s="139">
        <v>3833</v>
      </c>
      <c r="S78" s="139" t="s">
        <v>157</v>
      </c>
      <c r="U78" s="139" t="str">
        <f t="shared" si="16"/>
        <v>38</v>
      </c>
      <c r="V78" s="139" t="str">
        <f t="shared" si="17"/>
        <v>383</v>
      </c>
      <c r="X78" t="s">
        <v>2115</v>
      </c>
      <c r="Y78" t="s">
        <v>2116</v>
      </c>
    </row>
    <row r="79" spans="1:25">
      <c r="A79" s="143" t="str">
        <f>IF(C79="","",VLOOKUP('Opći dio'!$C$3,'Opći dio'!$L$6:$U$137,10,FALSE))</f>
        <v>08006</v>
      </c>
      <c r="B79" s="143" t="str">
        <f>IF(C79="","",VLOOKUP('Opći dio'!$C$3,'Opći dio'!$L$6:$U$137,9,FALSE))</f>
        <v>Sveučilišta i veleučilišta u Republici Hrvatskoj</v>
      </c>
      <c r="C79" s="149">
        <v>43</v>
      </c>
      <c r="D79" s="144" t="str">
        <f t="shared" si="11"/>
        <v>Ostali prihodi za posebne namjene</v>
      </c>
      <c r="E79" s="149">
        <v>3811</v>
      </c>
      <c r="F79" s="144" t="str">
        <f t="shared" si="12"/>
        <v>Tekuće donacije u novcu</v>
      </c>
      <c r="G79" s="183" t="s">
        <v>181</v>
      </c>
      <c r="H79" s="144" t="str">
        <f t="shared" si="13"/>
        <v>REDOVNA DJELATNOST SVEUČILIŠTA U OSIJEKU (IZ EVIDENCIJSKIH PRIHODA)</v>
      </c>
      <c r="I79" s="182">
        <v>30000</v>
      </c>
      <c r="J79" s="182">
        <v>30000</v>
      </c>
      <c r="K79" s="182">
        <v>30000</v>
      </c>
      <c r="M79" s="139" t="str">
        <f t="shared" si="14"/>
        <v>381</v>
      </c>
      <c r="N79" s="139" t="str">
        <f t="shared" si="15"/>
        <v>38</v>
      </c>
      <c r="R79" s="139">
        <v>3834</v>
      </c>
      <c r="S79" s="139" t="s">
        <v>158</v>
      </c>
      <c r="U79" s="139" t="str">
        <f t="shared" si="16"/>
        <v>38</v>
      </c>
      <c r="V79" s="139" t="str">
        <f t="shared" si="17"/>
        <v>383</v>
      </c>
      <c r="X79" t="s">
        <v>2117</v>
      </c>
      <c r="Y79" t="s">
        <v>2118</v>
      </c>
    </row>
    <row r="80" spans="1:25">
      <c r="A80" s="143" t="str">
        <f>IF(C80="","",VLOOKUP('Opći dio'!$C$3,'Opći dio'!$L$6:$U$137,10,FALSE))</f>
        <v>08006</v>
      </c>
      <c r="B80" s="143" t="str">
        <f>IF(C80="","",VLOOKUP('Opći dio'!$C$3,'Opći dio'!$L$6:$U$137,9,FALSE))</f>
        <v>Sveučilišta i veleučilišta u Republici Hrvatskoj</v>
      </c>
      <c r="C80" s="149">
        <v>43</v>
      </c>
      <c r="D80" s="144" t="str">
        <f t="shared" si="11"/>
        <v>Ostali prihodi za posebne namjene</v>
      </c>
      <c r="E80" s="149">
        <v>3812</v>
      </c>
      <c r="F80" s="144" t="str">
        <f t="shared" si="12"/>
        <v>Tekuće donacije u naravi</v>
      </c>
      <c r="G80" s="183" t="s">
        <v>181</v>
      </c>
      <c r="H80" s="144" t="str">
        <f t="shared" si="13"/>
        <v>REDOVNA DJELATNOST SVEUČILIŠTA U OSIJEKU (IZ EVIDENCIJSKIH PRIHODA)</v>
      </c>
      <c r="I80" s="182">
        <v>3000</v>
      </c>
      <c r="J80" s="182">
        <v>3000</v>
      </c>
      <c r="K80" s="182">
        <v>4000</v>
      </c>
      <c r="M80" s="139" t="str">
        <f t="shared" si="14"/>
        <v>381</v>
      </c>
      <c r="N80" s="139" t="str">
        <f t="shared" si="15"/>
        <v>38</v>
      </c>
      <c r="R80" s="139">
        <v>3835</v>
      </c>
      <c r="S80" s="139" t="s">
        <v>159</v>
      </c>
      <c r="U80" s="139" t="str">
        <f t="shared" si="16"/>
        <v>38</v>
      </c>
      <c r="V80" s="139" t="str">
        <f t="shared" si="17"/>
        <v>383</v>
      </c>
      <c r="X80" t="s">
        <v>2119</v>
      </c>
      <c r="Y80" t="s">
        <v>2120</v>
      </c>
    </row>
    <row r="81" spans="1:25">
      <c r="A81" s="143" t="str">
        <f>IF(C81="","",VLOOKUP('Opći dio'!$C$3,'Opći dio'!$L$6:$U$137,10,FALSE))</f>
        <v>08006</v>
      </c>
      <c r="B81" s="143" t="str">
        <f>IF(C81="","",VLOOKUP('Opći dio'!$C$3,'Opći dio'!$L$6:$U$137,9,FALSE))</f>
        <v>Sveučilišta i veleučilišta u Republici Hrvatskoj</v>
      </c>
      <c r="C81" s="149">
        <v>43</v>
      </c>
      <c r="D81" s="144" t="str">
        <f t="shared" si="11"/>
        <v>Ostali prihodi za posebne namjene</v>
      </c>
      <c r="E81" s="149">
        <v>4221</v>
      </c>
      <c r="F81" s="144" t="str">
        <f t="shared" si="12"/>
        <v>Uredska oprema i namještaj</v>
      </c>
      <c r="G81" s="183" t="s">
        <v>181</v>
      </c>
      <c r="H81" s="144" t="str">
        <f t="shared" si="13"/>
        <v>REDOVNA DJELATNOST SVEUČILIŠTA U OSIJEKU (IZ EVIDENCIJSKIH PRIHODA)</v>
      </c>
      <c r="I81" s="182">
        <v>222000</v>
      </c>
      <c r="J81" s="182">
        <v>56000</v>
      </c>
      <c r="K81" s="182">
        <v>52000</v>
      </c>
      <c r="M81" s="139" t="str">
        <f t="shared" si="14"/>
        <v>422</v>
      </c>
      <c r="N81" s="139" t="str">
        <f t="shared" si="15"/>
        <v>42</v>
      </c>
      <c r="R81" s="194">
        <v>3861</v>
      </c>
      <c r="S81" s="139" t="s">
        <v>762</v>
      </c>
      <c r="T81" s="194"/>
      <c r="U81" s="194" t="str">
        <f>LEFT(R81,2)</f>
        <v>38</v>
      </c>
      <c r="V81" s="194" t="str">
        <f>LEFT(R81,3)</f>
        <v>386</v>
      </c>
      <c r="X81" t="s">
        <v>2121</v>
      </c>
      <c r="Y81" t="s">
        <v>2122</v>
      </c>
    </row>
    <row r="82" spans="1:25">
      <c r="A82" s="143" t="str">
        <f>IF(C82="","",VLOOKUP('Opći dio'!$C$3,'Opći dio'!$L$6:$U$137,10,FALSE))</f>
        <v>08006</v>
      </c>
      <c r="B82" s="143" t="str">
        <f>IF(C82="","",VLOOKUP('Opći dio'!$C$3,'Opći dio'!$L$6:$U$137,9,FALSE))</f>
        <v>Sveučilišta i veleučilišta u Republici Hrvatskoj</v>
      </c>
      <c r="C82" s="149">
        <v>43</v>
      </c>
      <c r="D82" s="144" t="str">
        <f t="shared" si="11"/>
        <v>Ostali prihodi za posebne namjene</v>
      </c>
      <c r="E82" s="149">
        <v>4222</v>
      </c>
      <c r="F82" s="144" t="str">
        <f t="shared" si="12"/>
        <v>Komunikacijska oprema</v>
      </c>
      <c r="G82" s="183" t="s">
        <v>181</v>
      </c>
      <c r="H82" s="144" t="str">
        <f t="shared" si="13"/>
        <v>REDOVNA DJELATNOST SVEUČILIŠTA U OSIJEKU (IZ EVIDENCIJSKIH PRIHODA)</v>
      </c>
      <c r="I82" s="182">
        <v>7000</v>
      </c>
      <c r="J82" s="182">
        <v>7000</v>
      </c>
      <c r="K82" s="182">
        <v>7000</v>
      </c>
      <c r="M82" s="139" t="str">
        <f t="shared" si="14"/>
        <v>422</v>
      </c>
      <c r="N82" s="139" t="str">
        <f t="shared" si="15"/>
        <v>42</v>
      </c>
      <c r="R82" s="193">
        <v>3862</v>
      </c>
      <c r="S82" s="139" t="s">
        <v>763</v>
      </c>
      <c r="U82" s="139" t="str">
        <f>LEFT(R82,2)</f>
        <v>38</v>
      </c>
      <c r="V82" s="139" t="str">
        <f>LEFT(R82,3)</f>
        <v>386</v>
      </c>
      <c r="X82" t="s">
        <v>2135</v>
      </c>
      <c r="Y82" t="s">
        <v>2136</v>
      </c>
    </row>
    <row r="83" spans="1:25">
      <c r="A83" s="143" t="str">
        <f>IF(C83="","",VLOOKUP('Opći dio'!$C$3,'Opći dio'!$L$6:$U$137,10,FALSE))</f>
        <v>08006</v>
      </c>
      <c r="B83" s="143" t="str">
        <f>IF(C83="","",VLOOKUP('Opći dio'!$C$3,'Opći dio'!$L$6:$U$137,9,FALSE))</f>
        <v>Sveučilišta i veleučilišta u Republici Hrvatskoj</v>
      </c>
      <c r="C83" s="149">
        <v>43</v>
      </c>
      <c r="D83" s="144" t="str">
        <f t="shared" si="11"/>
        <v>Ostali prihodi za posebne namjene</v>
      </c>
      <c r="E83" s="149">
        <v>4223</v>
      </c>
      <c r="F83" s="144" t="str">
        <f t="shared" si="12"/>
        <v>Oprema za održavanje i zaštitu</v>
      </c>
      <c r="G83" s="183" t="s">
        <v>181</v>
      </c>
      <c r="H83" s="144" t="str">
        <f t="shared" si="13"/>
        <v>REDOVNA DJELATNOST SVEUČILIŠTA U OSIJEKU (IZ EVIDENCIJSKIH PRIHODA)</v>
      </c>
      <c r="I83" s="182">
        <v>45000</v>
      </c>
      <c r="J83" s="182">
        <v>40000</v>
      </c>
      <c r="K83" s="182">
        <v>35000</v>
      </c>
      <c r="M83" s="139" t="str">
        <f t="shared" si="14"/>
        <v>422</v>
      </c>
      <c r="N83" s="139" t="str">
        <f t="shared" si="15"/>
        <v>42</v>
      </c>
      <c r="R83" s="193">
        <v>3863</v>
      </c>
      <c r="S83" s="139" t="s">
        <v>764</v>
      </c>
      <c r="U83" s="139" t="str">
        <f>LEFT(R83,2)</f>
        <v>38</v>
      </c>
      <c r="V83" s="139" t="str">
        <f>LEFT(R83,3)</f>
        <v>386</v>
      </c>
      <c r="X83" t="s">
        <v>1838</v>
      </c>
      <c r="Y83" t="s">
        <v>1839</v>
      </c>
    </row>
    <row r="84" spans="1:25">
      <c r="A84" s="143" t="str">
        <f>IF(C84="","",VLOOKUP('Opći dio'!$C$3,'Opći dio'!$L$6:$U$137,10,FALSE))</f>
        <v>08006</v>
      </c>
      <c r="B84" s="143" t="str">
        <f>IF(C84="","",VLOOKUP('Opći dio'!$C$3,'Opći dio'!$L$6:$U$137,9,FALSE))</f>
        <v>Sveučilišta i veleučilišta u Republici Hrvatskoj</v>
      </c>
      <c r="C84" s="149">
        <v>43</v>
      </c>
      <c r="D84" s="144" t="str">
        <f t="shared" si="11"/>
        <v>Ostali prihodi za posebne namjene</v>
      </c>
      <c r="E84" s="149">
        <v>4225</v>
      </c>
      <c r="F84" s="144" t="str">
        <f t="shared" si="12"/>
        <v>Instrumenti, uređaji i strojevi</v>
      </c>
      <c r="G84" s="183" t="s">
        <v>181</v>
      </c>
      <c r="H84" s="144" t="str">
        <f t="shared" si="13"/>
        <v>REDOVNA DJELATNOST SVEUČILIŠTA U OSIJEKU (IZ EVIDENCIJSKIH PRIHODA)</v>
      </c>
      <c r="I84" s="182">
        <v>5000</v>
      </c>
      <c r="J84" s="182">
        <v>5000</v>
      </c>
      <c r="K84" s="182">
        <v>7000</v>
      </c>
      <c r="M84" s="139" t="str">
        <f t="shared" si="14"/>
        <v>422</v>
      </c>
      <c r="N84" s="139" t="str">
        <f t="shared" si="15"/>
        <v>42</v>
      </c>
      <c r="R84" s="139">
        <v>4111</v>
      </c>
      <c r="S84" s="139" t="s">
        <v>160</v>
      </c>
      <c r="U84" s="139" t="str">
        <f t="shared" ref="U84:U101" si="18">LEFT(R84,2)</f>
        <v>41</v>
      </c>
      <c r="V84" s="139" t="str">
        <f t="shared" ref="V84:V118" si="19">LEFT(R84,3)</f>
        <v>411</v>
      </c>
      <c r="X84" t="s">
        <v>1075</v>
      </c>
      <c r="Y84" t="s">
        <v>1076</v>
      </c>
    </row>
    <row r="85" spans="1:25">
      <c r="A85" s="143" t="str">
        <f>IF(C85="","",VLOOKUP('Opći dio'!$C$3,'Opći dio'!$L$6:$U$137,10,FALSE))</f>
        <v>08006</v>
      </c>
      <c r="B85" s="143" t="str">
        <f>IF(C85="","",VLOOKUP('Opći dio'!$C$3,'Opći dio'!$L$6:$U$137,9,FALSE))</f>
        <v>Sveučilišta i veleučilišta u Republici Hrvatskoj</v>
      </c>
      <c r="C85" s="149">
        <v>43</v>
      </c>
      <c r="D85" s="144" t="str">
        <f t="shared" si="11"/>
        <v>Ostali prihodi za posebne namjene</v>
      </c>
      <c r="E85" s="149">
        <v>4241</v>
      </c>
      <c r="F85" s="144" t="str">
        <f t="shared" si="12"/>
        <v>Knjige</v>
      </c>
      <c r="G85" s="183" t="s">
        <v>181</v>
      </c>
      <c r="H85" s="144" t="str">
        <f t="shared" si="13"/>
        <v>REDOVNA DJELATNOST SVEUČILIŠTA U OSIJEKU (IZ EVIDENCIJSKIH PRIHODA)</v>
      </c>
      <c r="I85" s="182">
        <v>65000</v>
      </c>
      <c r="J85" s="182">
        <v>29000</v>
      </c>
      <c r="K85" s="182">
        <v>11000</v>
      </c>
      <c r="M85" s="139" t="str">
        <f t="shared" si="14"/>
        <v>424</v>
      </c>
      <c r="N85" s="139" t="str">
        <f t="shared" si="15"/>
        <v>42</v>
      </c>
      <c r="R85" s="139">
        <v>4113</v>
      </c>
      <c r="S85" s="139" t="s">
        <v>194</v>
      </c>
      <c r="U85" s="139" t="str">
        <f t="shared" si="18"/>
        <v>41</v>
      </c>
      <c r="V85" s="139" t="str">
        <f t="shared" si="19"/>
        <v>411</v>
      </c>
      <c r="X85" t="s">
        <v>1077</v>
      </c>
      <c r="Y85" t="s">
        <v>1078</v>
      </c>
    </row>
    <row r="86" spans="1:25">
      <c r="A86" s="143" t="str">
        <f>IF(C86="","",VLOOKUP('Opći dio'!$C$3,'Opći dio'!$L$6:$U$137,10,FALSE))</f>
        <v>08006</v>
      </c>
      <c r="B86" s="143" t="str">
        <f>IF(C86="","",VLOOKUP('Opći dio'!$C$3,'Opći dio'!$L$6:$U$137,9,FALSE))</f>
        <v>Sveučilišta i veleučilišta u Republici Hrvatskoj</v>
      </c>
      <c r="C86" s="149">
        <v>43</v>
      </c>
      <c r="D86" s="144" t="str">
        <f t="shared" si="11"/>
        <v>Ostali prihodi za posebne namjene</v>
      </c>
      <c r="E86" s="149">
        <v>4262</v>
      </c>
      <c r="F86" s="144" t="str">
        <f t="shared" si="12"/>
        <v>Ulaganja u računalne programe</v>
      </c>
      <c r="G86" s="183" t="s">
        <v>181</v>
      </c>
      <c r="H86" s="144" t="str">
        <f t="shared" si="13"/>
        <v>REDOVNA DJELATNOST SVEUČILIŠTA U OSIJEKU (IZ EVIDENCIJSKIH PRIHODA)</v>
      </c>
      <c r="I86" s="182">
        <v>10000</v>
      </c>
      <c r="J86" s="182">
        <v>5000</v>
      </c>
      <c r="K86" s="182">
        <v>5000</v>
      </c>
      <c r="M86" s="139" t="str">
        <f t="shared" si="14"/>
        <v>426</v>
      </c>
      <c r="N86" s="139" t="str">
        <f t="shared" si="15"/>
        <v>42</v>
      </c>
      <c r="R86" s="139">
        <v>4122</v>
      </c>
      <c r="S86" s="139" t="s">
        <v>161</v>
      </c>
      <c r="U86" s="139" t="str">
        <f t="shared" si="18"/>
        <v>41</v>
      </c>
      <c r="V86" s="139" t="str">
        <f t="shared" si="19"/>
        <v>412</v>
      </c>
      <c r="X86" t="s">
        <v>1086</v>
      </c>
      <c r="Y86" t="s">
        <v>1087</v>
      </c>
    </row>
    <row r="87" spans="1:25">
      <c r="A87" s="143" t="str">
        <f>IF(C87="","",VLOOKUP('Opći dio'!$C$3,'Opći dio'!$L$6:$U$137,10,FALSE))</f>
        <v>08006</v>
      </c>
      <c r="B87" s="143" t="str">
        <f>IF(C87="","",VLOOKUP('Opći dio'!$C$3,'Opći dio'!$L$6:$U$137,9,FALSE))</f>
        <v>Sveučilišta i veleučilišta u Republici Hrvatskoj</v>
      </c>
      <c r="C87" s="149">
        <v>43</v>
      </c>
      <c r="D87" s="144" t="str">
        <f t="shared" si="11"/>
        <v>Ostali prihodi za posebne namjene</v>
      </c>
      <c r="E87" s="149">
        <v>4511</v>
      </c>
      <c r="F87" s="144" t="str">
        <f t="shared" si="12"/>
        <v>Dodatna ulaganja na građevinskim objektima</v>
      </c>
      <c r="G87" s="183" t="s">
        <v>181</v>
      </c>
      <c r="H87" s="144" t="str">
        <f t="shared" si="13"/>
        <v>REDOVNA DJELATNOST SVEUČILIŠTA U OSIJEKU (IZ EVIDENCIJSKIH PRIHODA)</v>
      </c>
      <c r="I87" s="182">
        <v>486911</v>
      </c>
      <c r="J87" s="182">
        <v>2354500</v>
      </c>
      <c r="K87" s="182">
        <v>2354500</v>
      </c>
      <c r="M87" s="139" t="str">
        <f t="shared" si="14"/>
        <v>451</v>
      </c>
      <c r="N87" s="139" t="str">
        <f t="shared" si="15"/>
        <v>45</v>
      </c>
      <c r="R87" s="139">
        <v>4123</v>
      </c>
      <c r="S87" s="139" t="s">
        <v>132</v>
      </c>
      <c r="U87" s="139" t="str">
        <f t="shared" si="18"/>
        <v>41</v>
      </c>
      <c r="V87" s="139" t="str">
        <f t="shared" si="19"/>
        <v>412</v>
      </c>
      <c r="X87" t="s">
        <v>1840</v>
      </c>
      <c r="Y87" t="s">
        <v>1841</v>
      </c>
    </row>
    <row r="88" spans="1:25">
      <c r="A88" s="143" t="str">
        <f>IF(C88="","",VLOOKUP('Opći dio'!$C$3,'Opći dio'!$L$6:$U$137,10,FALSE))</f>
        <v>08006</v>
      </c>
      <c r="B88" s="143" t="str">
        <f>IF(C88="","",VLOOKUP('Opći dio'!$C$3,'Opći dio'!$L$6:$U$137,9,FALSE))</f>
        <v>Sveučilišta i veleučilišta u Republici Hrvatskoj</v>
      </c>
      <c r="C88" s="149">
        <v>43</v>
      </c>
      <c r="D88" s="144" t="str">
        <f t="shared" si="11"/>
        <v>Ostali prihodi za posebne namjene</v>
      </c>
      <c r="E88" s="149">
        <v>4124</v>
      </c>
      <c r="F88" s="144" t="str">
        <f t="shared" si="12"/>
        <v>Ostala prava</v>
      </c>
      <c r="G88" s="183" t="s">
        <v>181</v>
      </c>
      <c r="H88" s="144" t="str">
        <f t="shared" si="13"/>
        <v>REDOVNA DJELATNOST SVEUČILIŠTA U OSIJEKU (IZ EVIDENCIJSKIH PRIHODA)</v>
      </c>
      <c r="I88" s="182">
        <v>240000</v>
      </c>
      <c r="J88" s="182">
        <v>0</v>
      </c>
      <c r="K88" s="182">
        <v>0</v>
      </c>
      <c r="M88" s="139" t="str">
        <f t="shared" si="14"/>
        <v>412</v>
      </c>
      <c r="N88" s="139" t="str">
        <f t="shared" si="15"/>
        <v>41</v>
      </c>
      <c r="R88" s="139">
        <v>4124</v>
      </c>
      <c r="S88" s="139" t="s">
        <v>118</v>
      </c>
      <c r="U88" s="139" t="str">
        <f t="shared" si="18"/>
        <v>41</v>
      </c>
      <c r="V88" s="139" t="str">
        <f t="shared" si="19"/>
        <v>412</v>
      </c>
      <c r="X88" t="s">
        <v>2137</v>
      </c>
      <c r="Y88" t="s">
        <v>2138</v>
      </c>
    </row>
    <row r="89" spans="1:25">
      <c r="A89" s="143" t="str">
        <f>IF(C89="","",VLOOKUP('Opći dio'!$C$3,'Opći dio'!$L$6:$U$137,10,FALSE))</f>
        <v>08006</v>
      </c>
      <c r="B89" s="143" t="str">
        <f>IF(C89="","",VLOOKUP('Opći dio'!$C$3,'Opći dio'!$L$6:$U$137,9,FALSE))</f>
        <v>Sveučilišta i veleučilišta u Republici Hrvatskoj</v>
      </c>
      <c r="C89" s="149">
        <v>52</v>
      </c>
      <c r="D89" s="144" t="str">
        <f t="shared" si="11"/>
        <v>Ostale pomoći</v>
      </c>
      <c r="E89" s="149">
        <v>3235</v>
      </c>
      <c r="F89" s="144" t="str">
        <f t="shared" si="12"/>
        <v>Zakupnine i najamnine</v>
      </c>
      <c r="G89" s="183" t="s">
        <v>181</v>
      </c>
      <c r="H89" s="144" t="str">
        <f t="shared" si="13"/>
        <v>REDOVNA DJELATNOST SVEUČILIŠTA U OSIJEKU (IZ EVIDENCIJSKIH PRIHODA)</v>
      </c>
      <c r="I89" s="182">
        <v>5000</v>
      </c>
      <c r="J89" s="182">
        <v>0</v>
      </c>
      <c r="K89" s="182">
        <v>0</v>
      </c>
      <c r="M89" s="139" t="str">
        <f t="shared" si="14"/>
        <v>323</v>
      </c>
      <c r="N89" s="139" t="str">
        <f t="shared" si="15"/>
        <v>32</v>
      </c>
      <c r="R89" s="139">
        <v>4126</v>
      </c>
      <c r="S89" s="139" t="s">
        <v>162</v>
      </c>
      <c r="U89" s="139" t="str">
        <f t="shared" si="18"/>
        <v>41</v>
      </c>
      <c r="V89" s="139" t="str">
        <f t="shared" si="19"/>
        <v>412</v>
      </c>
      <c r="X89" t="s">
        <v>1842</v>
      </c>
      <c r="Y89" t="s">
        <v>1843</v>
      </c>
    </row>
    <row r="90" spans="1:25">
      <c r="A90" s="143" t="str">
        <f>IF(C90="","",VLOOKUP('Opći dio'!$C$3,'Opći dio'!$L$6:$U$137,10,FALSE))</f>
        <v>08006</v>
      </c>
      <c r="B90" s="143" t="str">
        <f>IF(C90="","",VLOOKUP('Opći dio'!$C$3,'Opći dio'!$L$6:$U$137,9,FALSE))</f>
        <v>Sveučilišta i veleučilišta u Republici Hrvatskoj</v>
      </c>
      <c r="C90" s="149">
        <v>52</v>
      </c>
      <c r="D90" s="144" t="str">
        <f t="shared" si="11"/>
        <v>Ostale pomoći</v>
      </c>
      <c r="E90" s="149">
        <v>3231</v>
      </c>
      <c r="F90" s="144" t="str">
        <f t="shared" si="12"/>
        <v>Usluge telefona, pošte i prijevoza</v>
      </c>
      <c r="G90" s="183" t="s">
        <v>181</v>
      </c>
      <c r="H90" s="144" t="str">
        <f t="shared" si="13"/>
        <v>REDOVNA DJELATNOST SVEUČILIŠTA U OSIJEKU (IZ EVIDENCIJSKIH PRIHODA)</v>
      </c>
      <c r="I90" s="182">
        <v>2500</v>
      </c>
      <c r="J90" s="182">
        <v>0</v>
      </c>
      <c r="K90" s="182">
        <v>0</v>
      </c>
      <c r="M90" s="139" t="str">
        <f t="shared" si="14"/>
        <v>323</v>
      </c>
      <c r="N90" s="139" t="str">
        <f t="shared" si="15"/>
        <v>32</v>
      </c>
      <c r="R90" s="139">
        <v>4211</v>
      </c>
      <c r="S90" s="139" t="s">
        <v>176</v>
      </c>
      <c r="U90" s="139" t="str">
        <f t="shared" si="18"/>
        <v>42</v>
      </c>
      <c r="V90" s="139" t="str">
        <f t="shared" si="19"/>
        <v>421</v>
      </c>
      <c r="X90" t="s">
        <v>2139</v>
      </c>
      <c r="Y90" t="s">
        <v>2140</v>
      </c>
    </row>
    <row r="91" spans="1:25">
      <c r="A91" s="143" t="str">
        <f>IF(C91="","",VLOOKUP('Opći dio'!$C$3,'Opći dio'!$L$6:$U$137,10,FALSE))</f>
        <v>08006</v>
      </c>
      <c r="B91" s="143" t="str">
        <f>IF(C91="","",VLOOKUP('Opći dio'!$C$3,'Opći dio'!$L$6:$U$137,9,FALSE))</f>
        <v>Sveučilišta i veleučilišta u Republici Hrvatskoj</v>
      </c>
      <c r="C91" s="149">
        <v>52</v>
      </c>
      <c r="D91" s="144" t="str">
        <f t="shared" si="11"/>
        <v>Ostale pomoći</v>
      </c>
      <c r="E91" s="149">
        <v>3237</v>
      </c>
      <c r="F91" s="144" t="str">
        <f t="shared" si="12"/>
        <v>Intelektualne i osobne usluge</v>
      </c>
      <c r="G91" s="183" t="s">
        <v>181</v>
      </c>
      <c r="H91" s="144" t="str">
        <f t="shared" si="13"/>
        <v>REDOVNA DJELATNOST SVEUČILIŠTA U OSIJEKU (IZ EVIDENCIJSKIH PRIHODA)</v>
      </c>
      <c r="I91" s="182">
        <v>50000</v>
      </c>
      <c r="J91" s="182">
        <v>0</v>
      </c>
      <c r="K91" s="182">
        <v>0</v>
      </c>
      <c r="M91" s="139" t="str">
        <f t="shared" si="14"/>
        <v>323</v>
      </c>
      <c r="N91" s="139" t="str">
        <f t="shared" si="15"/>
        <v>32</v>
      </c>
      <c r="R91" s="139">
        <v>4212</v>
      </c>
      <c r="S91" s="139" t="s">
        <v>64</v>
      </c>
      <c r="U91" s="139" t="str">
        <f t="shared" si="18"/>
        <v>42</v>
      </c>
      <c r="V91" s="139" t="str">
        <f t="shared" si="19"/>
        <v>421</v>
      </c>
      <c r="X91" t="s">
        <v>2141</v>
      </c>
      <c r="Y91" t="s">
        <v>2142</v>
      </c>
    </row>
    <row r="92" spans="1:25">
      <c r="A92" s="143" t="str">
        <f>IF(C92="","",VLOOKUP('Opći dio'!$C$3,'Opći dio'!$L$6:$U$137,10,FALSE))</f>
        <v>08006</v>
      </c>
      <c r="B92" s="143" t="str">
        <f>IF(C92="","",VLOOKUP('Opći dio'!$C$3,'Opći dio'!$L$6:$U$137,9,FALSE))</f>
        <v>Sveučilišta i veleučilišta u Republici Hrvatskoj</v>
      </c>
      <c r="C92" s="149">
        <v>52</v>
      </c>
      <c r="D92" s="144" t="str">
        <f t="shared" si="11"/>
        <v>Ostale pomoći</v>
      </c>
      <c r="E92" s="149">
        <v>3239</v>
      </c>
      <c r="F92" s="144" t="str">
        <f t="shared" si="12"/>
        <v>Ostale usluge</v>
      </c>
      <c r="G92" s="183" t="s">
        <v>181</v>
      </c>
      <c r="H92" s="144" t="str">
        <f t="shared" si="13"/>
        <v>REDOVNA DJELATNOST SVEUČILIŠTA U OSIJEKU (IZ EVIDENCIJSKIH PRIHODA)</v>
      </c>
      <c r="I92" s="182">
        <v>10000</v>
      </c>
      <c r="J92" s="182">
        <v>0</v>
      </c>
      <c r="K92" s="182">
        <v>0</v>
      </c>
      <c r="M92" s="139" t="str">
        <f t="shared" si="14"/>
        <v>323</v>
      </c>
      <c r="N92" s="139" t="str">
        <f t="shared" si="15"/>
        <v>32</v>
      </c>
      <c r="R92" s="139">
        <v>4213</v>
      </c>
      <c r="S92" s="139" t="s">
        <v>163</v>
      </c>
      <c r="U92" s="139" t="str">
        <f t="shared" si="18"/>
        <v>42</v>
      </c>
      <c r="V92" s="139" t="str">
        <f t="shared" si="19"/>
        <v>421</v>
      </c>
      <c r="X92" t="s">
        <v>2143</v>
      </c>
      <c r="Y92" t="s">
        <v>2144</v>
      </c>
    </row>
    <row r="93" spans="1:25">
      <c r="A93" s="143" t="str">
        <f>IF(C93="","",VLOOKUP('Opći dio'!$C$3,'Opći dio'!$L$6:$U$137,10,FALSE))</f>
        <v>08006</v>
      </c>
      <c r="B93" s="143" t="str">
        <f>IF(C93="","",VLOOKUP('Opći dio'!$C$3,'Opći dio'!$L$6:$U$137,9,FALSE))</f>
        <v>Sveučilišta i veleučilišta u Republici Hrvatskoj</v>
      </c>
      <c r="C93" s="149">
        <v>52</v>
      </c>
      <c r="D93" s="144" t="str">
        <f t="shared" si="11"/>
        <v>Ostale pomoći</v>
      </c>
      <c r="E93" s="149">
        <v>3211</v>
      </c>
      <c r="F93" s="144" t="str">
        <f t="shared" si="12"/>
        <v>Službena putovanja</v>
      </c>
      <c r="G93" s="183" t="s">
        <v>181</v>
      </c>
      <c r="H93" s="144" t="str">
        <f t="shared" si="13"/>
        <v>REDOVNA DJELATNOST SVEUČILIŠTA U OSIJEKU (IZ EVIDENCIJSKIH PRIHODA)</v>
      </c>
      <c r="I93" s="182">
        <v>131000</v>
      </c>
      <c r="J93" s="182">
        <v>0</v>
      </c>
      <c r="K93" s="182">
        <v>0</v>
      </c>
      <c r="M93" s="139" t="str">
        <f t="shared" si="14"/>
        <v>321</v>
      </c>
      <c r="N93" s="139" t="str">
        <f t="shared" si="15"/>
        <v>32</v>
      </c>
      <c r="R93" s="139">
        <v>4214</v>
      </c>
      <c r="S93" s="139" t="s">
        <v>164</v>
      </c>
      <c r="U93" s="139" t="str">
        <f t="shared" si="18"/>
        <v>42</v>
      </c>
      <c r="V93" s="139" t="str">
        <f t="shared" si="19"/>
        <v>421</v>
      </c>
      <c r="X93" t="s">
        <v>2145</v>
      </c>
      <c r="Y93" t="s">
        <v>2146</v>
      </c>
    </row>
    <row r="94" spans="1:25">
      <c r="A94" s="143" t="str">
        <f>IF(C94="","",VLOOKUP('Opći dio'!$C$3,'Opći dio'!$L$6:$U$137,10,FALSE))</f>
        <v>08006</v>
      </c>
      <c r="B94" s="143" t="str">
        <f>IF(C94="","",VLOOKUP('Opći dio'!$C$3,'Opći dio'!$L$6:$U$137,9,FALSE))</f>
        <v>Sveučilišta i veleučilišta u Republici Hrvatskoj</v>
      </c>
      <c r="C94" s="149">
        <v>52</v>
      </c>
      <c r="D94" s="144" t="str">
        <f t="shared" si="11"/>
        <v>Ostale pomoći</v>
      </c>
      <c r="E94" s="149">
        <v>3241</v>
      </c>
      <c r="F94" s="144" t="str">
        <f t="shared" si="12"/>
        <v>Naknade troškova osobama izvan radnog odnosa</v>
      </c>
      <c r="G94" s="183" t="s">
        <v>181</v>
      </c>
      <c r="H94" s="144" t="str">
        <f t="shared" si="13"/>
        <v>REDOVNA DJELATNOST SVEUČILIŠTA U OSIJEKU (IZ EVIDENCIJSKIH PRIHODA)</v>
      </c>
      <c r="I94" s="182">
        <v>15000</v>
      </c>
      <c r="J94" s="182">
        <v>0</v>
      </c>
      <c r="K94" s="182">
        <v>0</v>
      </c>
      <c r="M94" s="139" t="str">
        <f t="shared" si="14"/>
        <v>324</v>
      </c>
      <c r="N94" s="139" t="str">
        <f t="shared" si="15"/>
        <v>32</v>
      </c>
      <c r="R94" s="139">
        <v>4221</v>
      </c>
      <c r="S94" s="139" t="s">
        <v>99</v>
      </c>
      <c r="U94" s="139" t="str">
        <f t="shared" si="18"/>
        <v>42</v>
      </c>
      <c r="V94" s="139" t="str">
        <f t="shared" si="19"/>
        <v>422</v>
      </c>
      <c r="X94" t="s">
        <v>2147</v>
      </c>
      <c r="Y94" t="s">
        <v>2148</v>
      </c>
    </row>
    <row r="95" spans="1:25">
      <c r="A95" s="143" t="str">
        <f>IF(C95="","",VLOOKUP('Opći dio'!$C$3,'Opći dio'!$L$6:$U$137,10,FALSE))</f>
        <v>08006</v>
      </c>
      <c r="B95" s="143" t="str">
        <f>IF(C95="","",VLOOKUP('Opći dio'!$C$3,'Opći dio'!$L$6:$U$137,9,FALSE))</f>
        <v>Sveučilišta i veleučilišta u Republici Hrvatskoj</v>
      </c>
      <c r="C95" s="149">
        <v>52</v>
      </c>
      <c r="D95" s="144" t="str">
        <f t="shared" si="11"/>
        <v>Ostale pomoći</v>
      </c>
      <c r="E95" s="149">
        <v>4221</v>
      </c>
      <c r="F95" s="144" t="str">
        <f t="shared" si="12"/>
        <v>Uredska oprema i namještaj</v>
      </c>
      <c r="G95" s="183" t="s">
        <v>181</v>
      </c>
      <c r="H95" s="144" t="str">
        <f t="shared" si="13"/>
        <v>REDOVNA DJELATNOST SVEUČILIŠTA U OSIJEKU (IZ EVIDENCIJSKIH PRIHODA)</v>
      </c>
      <c r="I95" s="182">
        <v>7500</v>
      </c>
      <c r="J95" s="182">
        <v>0</v>
      </c>
      <c r="K95" s="182">
        <v>0</v>
      </c>
      <c r="M95" s="139" t="str">
        <f t="shared" si="14"/>
        <v>422</v>
      </c>
      <c r="N95" s="139" t="str">
        <f t="shared" si="15"/>
        <v>42</v>
      </c>
      <c r="R95" s="139">
        <v>4222</v>
      </c>
      <c r="S95" s="139" t="s">
        <v>110</v>
      </c>
      <c r="U95" s="139" t="str">
        <f t="shared" si="18"/>
        <v>42</v>
      </c>
      <c r="V95" s="139" t="str">
        <f t="shared" si="19"/>
        <v>422</v>
      </c>
      <c r="X95" t="s">
        <v>2149</v>
      </c>
      <c r="Y95" t="s">
        <v>2150</v>
      </c>
    </row>
    <row r="96" spans="1:25">
      <c r="A96" s="143" t="str">
        <f>IF(C96="","",VLOOKUP('Opći dio'!$C$3,'Opći dio'!$L$6:$U$137,10,FALSE))</f>
        <v>08006</v>
      </c>
      <c r="B96" s="143" t="str">
        <f>IF(C96="","",VLOOKUP('Opći dio'!$C$3,'Opći dio'!$L$6:$U$137,9,FALSE))</f>
        <v>Sveučilišta i veleučilišta u Republici Hrvatskoj</v>
      </c>
      <c r="C96" s="149">
        <v>52</v>
      </c>
      <c r="D96" s="144" t="str">
        <f t="shared" si="11"/>
        <v>Ostale pomoći</v>
      </c>
      <c r="E96" s="149">
        <v>4511</v>
      </c>
      <c r="F96" s="144" t="str">
        <f t="shared" si="12"/>
        <v>Dodatna ulaganja na građevinskim objektima</v>
      </c>
      <c r="G96" s="183" t="s">
        <v>181</v>
      </c>
      <c r="H96" s="144" t="str">
        <f t="shared" si="13"/>
        <v>REDOVNA DJELATNOST SVEUČILIŠTA U OSIJEKU (IZ EVIDENCIJSKIH PRIHODA)</v>
      </c>
      <c r="I96" s="182">
        <v>63089</v>
      </c>
      <c r="J96" s="182">
        <v>145500</v>
      </c>
      <c r="K96" s="182">
        <v>145500</v>
      </c>
      <c r="M96" s="139" t="str">
        <f t="shared" si="14"/>
        <v>451</v>
      </c>
      <c r="N96" s="139" t="str">
        <f t="shared" si="15"/>
        <v>45</v>
      </c>
      <c r="R96" s="139">
        <v>4223</v>
      </c>
      <c r="S96" s="139" t="s">
        <v>123</v>
      </c>
      <c r="U96" s="139" t="str">
        <f t="shared" si="18"/>
        <v>42</v>
      </c>
      <c r="V96" s="139" t="str">
        <f t="shared" si="19"/>
        <v>422</v>
      </c>
      <c r="X96" t="s">
        <v>2151</v>
      </c>
      <c r="Y96" t="s">
        <v>2152</v>
      </c>
    </row>
    <row r="97" spans="1:25">
      <c r="A97" s="143" t="str">
        <f>IF(C97="","",VLOOKUP('Opći dio'!$C$3,'Opći dio'!$L$6:$U$137,10,FALSE))</f>
        <v/>
      </c>
      <c r="B97" s="143" t="str">
        <f>IF(C97="","",VLOOKUP('Opći dio'!$C$3,'Opći dio'!$L$6:$U$137,9,FALSE))</f>
        <v/>
      </c>
      <c r="C97" s="149"/>
      <c r="D97" s="144" t="str">
        <f t="shared" si="11"/>
        <v/>
      </c>
      <c r="E97" s="149"/>
      <c r="F97" s="144" t="str">
        <f t="shared" si="12"/>
        <v/>
      </c>
      <c r="G97" s="183"/>
      <c r="H97" s="144" t="str">
        <f t="shared" si="13"/>
        <v/>
      </c>
      <c r="I97" s="182"/>
      <c r="J97" s="182"/>
      <c r="K97" s="182"/>
      <c r="M97" s="139" t="str">
        <f t="shared" si="14"/>
        <v/>
      </c>
      <c r="N97" s="139" t="str">
        <f t="shared" si="15"/>
        <v/>
      </c>
      <c r="R97" s="139">
        <v>4224</v>
      </c>
      <c r="S97" s="139" t="s">
        <v>116</v>
      </c>
      <c r="U97" s="139" t="str">
        <f t="shared" si="18"/>
        <v>42</v>
      </c>
      <c r="V97" s="139" t="str">
        <f t="shared" si="19"/>
        <v>422</v>
      </c>
      <c r="X97" t="s">
        <v>2153</v>
      </c>
      <c r="Y97" t="s">
        <v>2154</v>
      </c>
    </row>
    <row r="98" spans="1:25">
      <c r="A98" s="143" t="str">
        <f>IF(C98="","",VLOOKUP('Opći dio'!$C$3,'Opći dio'!$L$6:$U$137,10,FALSE))</f>
        <v/>
      </c>
      <c r="B98" s="143" t="str">
        <f>IF(C98="","",VLOOKUP('Opći dio'!$C$3,'Opći dio'!$L$6:$U$137,9,FALSE))</f>
        <v/>
      </c>
      <c r="C98" s="149"/>
      <c r="D98" s="144" t="str">
        <f t="shared" si="11"/>
        <v/>
      </c>
      <c r="E98" s="149"/>
      <c r="F98" s="144" t="str">
        <f t="shared" si="12"/>
        <v/>
      </c>
      <c r="G98" s="183"/>
      <c r="H98" s="144" t="str">
        <f t="shared" si="13"/>
        <v/>
      </c>
      <c r="I98" s="182"/>
      <c r="J98" s="182"/>
      <c r="K98" s="182"/>
      <c r="M98" s="139" t="str">
        <f t="shared" si="14"/>
        <v/>
      </c>
      <c r="N98" s="139" t="str">
        <f t="shared" si="15"/>
        <v/>
      </c>
      <c r="R98" s="139">
        <v>4225</v>
      </c>
      <c r="S98" s="139" t="s">
        <v>120</v>
      </c>
      <c r="U98" s="139" t="str">
        <f t="shared" si="18"/>
        <v>42</v>
      </c>
      <c r="V98" s="139" t="str">
        <f t="shared" si="19"/>
        <v>422</v>
      </c>
      <c r="X98" t="s">
        <v>1844</v>
      </c>
      <c r="Y98" t="s">
        <v>1845</v>
      </c>
    </row>
    <row r="99" spans="1:25">
      <c r="A99" s="143" t="str">
        <f>IF(C99="","",VLOOKUP('Opći dio'!$C$3,'Opći dio'!$L$6:$U$137,10,FALSE))</f>
        <v/>
      </c>
      <c r="B99" s="143" t="str">
        <f>IF(C99="","",VLOOKUP('Opći dio'!$C$3,'Opći dio'!$L$6:$U$137,9,FALSE))</f>
        <v/>
      </c>
      <c r="C99" s="149"/>
      <c r="D99" s="144" t="str">
        <f t="shared" si="11"/>
        <v/>
      </c>
      <c r="E99" s="149"/>
      <c r="F99" s="144" t="str">
        <f t="shared" si="12"/>
        <v/>
      </c>
      <c r="G99" s="183"/>
      <c r="H99" s="144" t="str">
        <f t="shared" si="13"/>
        <v/>
      </c>
      <c r="I99" s="182"/>
      <c r="J99" s="182"/>
      <c r="K99" s="182"/>
      <c r="M99" s="139" t="str">
        <f t="shared" si="14"/>
        <v/>
      </c>
      <c r="N99" s="139" t="str">
        <f t="shared" si="15"/>
        <v/>
      </c>
      <c r="R99" s="139">
        <v>4226</v>
      </c>
      <c r="S99" s="139" t="s">
        <v>165</v>
      </c>
      <c r="U99" s="139" t="str">
        <f t="shared" si="18"/>
        <v>42</v>
      </c>
      <c r="V99" s="139" t="str">
        <f t="shared" si="19"/>
        <v>422</v>
      </c>
      <c r="X99" t="s">
        <v>2155</v>
      </c>
      <c r="Y99" t="s">
        <v>2156</v>
      </c>
    </row>
    <row r="100" spans="1:25">
      <c r="A100" s="143" t="str">
        <f>IF(C100="","",VLOOKUP('Opći dio'!$C$3,'Opći dio'!$L$6:$U$137,10,FALSE))</f>
        <v/>
      </c>
      <c r="B100" s="143" t="str">
        <f>IF(C100="","",VLOOKUP('Opći dio'!$C$3,'Opći dio'!$L$6:$U$137,9,FALSE))</f>
        <v/>
      </c>
      <c r="C100" s="149"/>
      <c r="D100" s="144" t="str">
        <f t="shared" si="11"/>
        <v/>
      </c>
      <c r="E100" s="149"/>
      <c r="F100" s="144" t="str">
        <f t="shared" si="12"/>
        <v/>
      </c>
      <c r="G100" s="183"/>
      <c r="H100" s="144" t="str">
        <f t="shared" si="13"/>
        <v/>
      </c>
      <c r="I100" s="182"/>
      <c r="J100" s="182"/>
      <c r="K100" s="182"/>
      <c r="M100" s="139" t="str">
        <f t="shared" si="14"/>
        <v/>
      </c>
      <c r="N100" s="139" t="str">
        <f t="shared" si="15"/>
        <v/>
      </c>
      <c r="R100" s="139">
        <v>4227</v>
      </c>
      <c r="S100" s="139" t="s">
        <v>133</v>
      </c>
      <c r="U100" s="139" t="str">
        <f t="shared" si="18"/>
        <v>42</v>
      </c>
      <c r="V100" s="139" t="str">
        <f t="shared" si="19"/>
        <v>422</v>
      </c>
      <c r="X100" t="s">
        <v>1846</v>
      </c>
      <c r="Y100" t="s">
        <v>1847</v>
      </c>
    </row>
    <row r="101" spans="1:25">
      <c r="A101" s="143" t="str">
        <f>IF(C101="","",VLOOKUP('Opći dio'!$C$3,'Opći dio'!$L$6:$U$137,10,FALSE))</f>
        <v/>
      </c>
      <c r="B101" s="143" t="str">
        <f>IF(C101="","",VLOOKUP('Opći dio'!$C$3,'Opći dio'!$L$6:$U$137,9,FALSE))</f>
        <v/>
      </c>
      <c r="C101" s="149"/>
      <c r="D101" s="144" t="str">
        <f t="shared" si="11"/>
        <v/>
      </c>
      <c r="E101" s="149"/>
      <c r="F101" s="144" t="str">
        <f t="shared" si="12"/>
        <v/>
      </c>
      <c r="G101" s="183"/>
      <c r="H101" s="144" t="str">
        <f t="shared" si="13"/>
        <v/>
      </c>
      <c r="I101" s="182"/>
      <c r="J101" s="182"/>
      <c r="K101" s="182"/>
      <c r="M101" s="139" t="str">
        <f t="shared" si="14"/>
        <v/>
      </c>
      <c r="N101" s="139" t="str">
        <f t="shared" si="15"/>
        <v/>
      </c>
      <c r="R101" s="139">
        <v>4231</v>
      </c>
      <c r="S101" s="139" t="s">
        <v>166</v>
      </c>
      <c r="U101" s="139" t="str">
        <f t="shared" si="18"/>
        <v>42</v>
      </c>
      <c r="V101" s="139" t="str">
        <f t="shared" si="19"/>
        <v>423</v>
      </c>
      <c r="X101" t="s">
        <v>1088</v>
      </c>
      <c r="Y101" t="s">
        <v>1089</v>
      </c>
    </row>
    <row r="102" spans="1:25">
      <c r="A102" s="143" t="str">
        <f>IF(C102="","",VLOOKUP('Opći dio'!$C$3,'Opći dio'!$L$6:$U$137,10,FALSE))</f>
        <v/>
      </c>
      <c r="B102" s="143" t="str">
        <f>IF(C102="","",VLOOKUP('Opći dio'!$C$3,'Opći dio'!$L$6:$U$137,9,FALSE))</f>
        <v/>
      </c>
      <c r="C102" s="149"/>
      <c r="D102" s="144" t="str">
        <f t="shared" si="11"/>
        <v/>
      </c>
      <c r="E102" s="149"/>
      <c r="F102" s="144" t="str">
        <f t="shared" si="12"/>
        <v/>
      </c>
      <c r="G102" s="183"/>
      <c r="H102" s="144" t="str">
        <f t="shared" si="13"/>
        <v/>
      </c>
      <c r="I102" s="182"/>
      <c r="J102" s="182"/>
      <c r="K102" s="182"/>
      <c r="M102" s="139" t="str">
        <f t="shared" si="14"/>
        <v/>
      </c>
      <c r="N102" s="139" t="str">
        <f t="shared" si="15"/>
        <v/>
      </c>
      <c r="R102" s="139">
        <v>4233</v>
      </c>
      <c r="S102" s="139" t="s">
        <v>174</v>
      </c>
      <c r="U102" s="139" t="str">
        <f t="shared" ref="U102:U129" si="20">LEFT(R102,2)</f>
        <v>42</v>
      </c>
      <c r="V102" s="139" t="str">
        <f t="shared" si="19"/>
        <v>423</v>
      </c>
      <c r="X102" t="s">
        <v>1079</v>
      </c>
      <c r="Y102" t="s">
        <v>1080</v>
      </c>
    </row>
    <row r="103" spans="1:25">
      <c r="A103" s="143" t="str">
        <f>IF(C103="","",VLOOKUP('Opći dio'!$C$3,'Opći dio'!$L$6:$U$137,10,FALSE))</f>
        <v/>
      </c>
      <c r="B103" s="143" t="str">
        <f>IF(C103="","",VLOOKUP('Opći dio'!$C$3,'Opći dio'!$L$6:$U$137,9,FALSE))</f>
        <v/>
      </c>
      <c r="C103" s="149"/>
      <c r="D103" s="144" t="str">
        <f t="shared" si="11"/>
        <v/>
      </c>
      <c r="E103" s="149"/>
      <c r="F103" s="144" t="str">
        <f t="shared" si="12"/>
        <v/>
      </c>
      <c r="G103" s="183"/>
      <c r="H103" s="144" t="str">
        <f t="shared" si="13"/>
        <v/>
      </c>
      <c r="I103" s="182"/>
      <c r="J103" s="182"/>
      <c r="K103" s="182"/>
      <c r="M103" s="139" t="str">
        <f t="shared" si="14"/>
        <v/>
      </c>
      <c r="N103" s="139" t="str">
        <f t="shared" si="15"/>
        <v/>
      </c>
      <c r="R103" s="139">
        <v>4241</v>
      </c>
      <c r="S103" s="139" t="s">
        <v>111</v>
      </c>
      <c r="U103" s="139" t="str">
        <f t="shared" si="20"/>
        <v>42</v>
      </c>
      <c r="V103" s="139" t="str">
        <f t="shared" si="19"/>
        <v>424</v>
      </c>
      <c r="X103" t="s">
        <v>1848</v>
      </c>
      <c r="Y103" t="s">
        <v>1849</v>
      </c>
    </row>
    <row r="104" spans="1:25">
      <c r="A104" s="143" t="str">
        <f>IF(C104="","",VLOOKUP('Opći dio'!$C$3,'Opći dio'!$L$6:$U$137,10,FALSE))</f>
        <v/>
      </c>
      <c r="B104" s="143" t="str">
        <f>IF(C104="","",VLOOKUP('Opći dio'!$C$3,'Opći dio'!$L$6:$U$137,9,FALSE))</f>
        <v/>
      </c>
      <c r="C104" s="149"/>
      <c r="D104" s="144" t="str">
        <f t="shared" si="11"/>
        <v/>
      </c>
      <c r="E104" s="149"/>
      <c r="F104" s="144" t="str">
        <f t="shared" si="12"/>
        <v/>
      </c>
      <c r="G104" s="183"/>
      <c r="H104" s="144" t="str">
        <f t="shared" si="13"/>
        <v/>
      </c>
      <c r="I104" s="182"/>
      <c r="J104" s="182"/>
      <c r="K104" s="182"/>
      <c r="M104" s="139" t="str">
        <f t="shared" si="14"/>
        <v/>
      </c>
      <c r="N104" s="139" t="str">
        <f t="shared" si="15"/>
        <v/>
      </c>
      <c r="R104" s="139">
        <v>4242</v>
      </c>
      <c r="S104" s="139" t="s">
        <v>143</v>
      </c>
      <c r="U104" s="139" t="str">
        <f t="shared" si="20"/>
        <v>42</v>
      </c>
      <c r="V104" s="139" t="str">
        <f t="shared" si="19"/>
        <v>424</v>
      </c>
      <c r="X104" t="s">
        <v>1902</v>
      </c>
      <c r="Y104" t="s">
        <v>1903</v>
      </c>
    </row>
    <row r="105" spans="1:25">
      <c r="A105" s="143" t="str">
        <f>IF(C105="","",VLOOKUP('Opći dio'!$C$3,'Opći dio'!$L$6:$U$137,10,FALSE))</f>
        <v/>
      </c>
      <c r="B105" s="143" t="str">
        <f>IF(C105="","",VLOOKUP('Opći dio'!$C$3,'Opći dio'!$L$6:$U$137,9,FALSE))</f>
        <v/>
      </c>
      <c r="C105" s="149"/>
      <c r="D105" s="144" t="str">
        <f t="shared" si="11"/>
        <v/>
      </c>
      <c r="E105" s="149"/>
      <c r="F105" s="144" t="str">
        <f t="shared" si="12"/>
        <v/>
      </c>
      <c r="G105" s="183"/>
      <c r="H105" s="144" t="str">
        <f t="shared" si="13"/>
        <v/>
      </c>
      <c r="I105" s="182"/>
      <c r="J105" s="182"/>
      <c r="K105" s="182"/>
      <c r="M105" s="139" t="str">
        <f t="shared" si="14"/>
        <v/>
      </c>
      <c r="N105" s="139" t="str">
        <f t="shared" si="15"/>
        <v/>
      </c>
      <c r="R105" s="139">
        <v>4244</v>
      </c>
      <c r="S105" s="139" t="s">
        <v>175</v>
      </c>
      <c r="U105" s="139" t="str">
        <f t="shared" si="20"/>
        <v>42</v>
      </c>
      <c r="V105" s="139" t="str">
        <f t="shared" si="19"/>
        <v>424</v>
      </c>
      <c r="X105" t="s">
        <v>2157</v>
      </c>
      <c r="Y105" t="s">
        <v>2158</v>
      </c>
    </row>
    <row r="106" spans="1:25">
      <c r="A106" s="143" t="str">
        <f>IF(C106="","",VLOOKUP('Opći dio'!$C$3,'Opći dio'!$L$6:$U$137,10,FALSE))</f>
        <v/>
      </c>
      <c r="B106" s="143" t="str">
        <f>IF(C106="","",VLOOKUP('Opći dio'!$C$3,'Opći dio'!$L$6:$U$137,9,FALSE))</f>
        <v/>
      </c>
      <c r="C106" s="149"/>
      <c r="D106" s="144" t="str">
        <f t="shared" si="11"/>
        <v/>
      </c>
      <c r="E106" s="149"/>
      <c r="F106" s="144" t="str">
        <f t="shared" si="12"/>
        <v/>
      </c>
      <c r="G106" s="183"/>
      <c r="H106" s="144" t="str">
        <f t="shared" si="13"/>
        <v/>
      </c>
      <c r="I106" s="182"/>
      <c r="J106" s="182"/>
      <c r="K106" s="182"/>
      <c r="M106" s="139" t="str">
        <f t="shared" si="14"/>
        <v/>
      </c>
      <c r="N106" s="139" t="str">
        <f t="shared" si="15"/>
        <v/>
      </c>
      <c r="R106" s="139">
        <v>4251</v>
      </c>
      <c r="S106" s="139" t="s">
        <v>167</v>
      </c>
      <c r="U106" s="139" t="str">
        <f t="shared" si="20"/>
        <v>42</v>
      </c>
      <c r="V106" s="139" t="str">
        <f t="shared" si="19"/>
        <v>425</v>
      </c>
      <c r="X106" t="s">
        <v>2159</v>
      </c>
      <c r="Y106" t="s">
        <v>2160</v>
      </c>
    </row>
    <row r="107" spans="1:25">
      <c r="A107" s="143" t="str">
        <f>IF(C107="","",VLOOKUP('Opći dio'!$C$3,'Opći dio'!$L$6:$U$137,10,FALSE))</f>
        <v/>
      </c>
      <c r="B107" s="143" t="str">
        <f>IF(C107="","",VLOOKUP('Opći dio'!$C$3,'Opći dio'!$L$6:$U$137,9,FALSE))</f>
        <v/>
      </c>
      <c r="C107" s="149"/>
      <c r="D107" s="144" t="str">
        <f t="shared" si="11"/>
        <v/>
      </c>
      <c r="E107" s="149"/>
      <c r="F107" s="144" t="str">
        <f t="shared" si="12"/>
        <v/>
      </c>
      <c r="G107" s="183"/>
      <c r="H107" s="144" t="str">
        <f t="shared" si="13"/>
        <v/>
      </c>
      <c r="I107" s="182"/>
      <c r="J107" s="182"/>
      <c r="K107" s="182"/>
      <c r="M107" s="139" t="str">
        <f t="shared" si="14"/>
        <v/>
      </c>
      <c r="N107" s="139" t="str">
        <f t="shared" si="15"/>
        <v/>
      </c>
      <c r="R107" s="139">
        <v>4252</v>
      </c>
      <c r="S107" s="139" t="s">
        <v>168</v>
      </c>
      <c r="U107" s="139" t="str">
        <f t="shared" si="20"/>
        <v>42</v>
      </c>
      <c r="V107" s="139" t="str">
        <f t="shared" si="19"/>
        <v>425</v>
      </c>
      <c r="X107" t="s">
        <v>2161</v>
      </c>
      <c r="Y107" t="s">
        <v>2162</v>
      </c>
    </row>
    <row r="108" spans="1:25">
      <c r="A108" s="143" t="str">
        <f>IF(C108="","",VLOOKUP('Opći dio'!$C$3,'Opći dio'!$L$6:$U$137,10,FALSE))</f>
        <v/>
      </c>
      <c r="B108" s="143" t="str">
        <f>IF(C108="","",VLOOKUP('Opći dio'!$C$3,'Opći dio'!$L$6:$U$137,9,FALSE))</f>
        <v/>
      </c>
      <c r="C108" s="149"/>
      <c r="D108" s="144" t="str">
        <f t="shared" si="11"/>
        <v/>
      </c>
      <c r="E108" s="149"/>
      <c r="F108" s="144" t="str">
        <f t="shared" si="12"/>
        <v/>
      </c>
      <c r="G108" s="183"/>
      <c r="H108" s="144" t="str">
        <f t="shared" si="13"/>
        <v/>
      </c>
      <c r="I108" s="182"/>
      <c r="J108" s="182"/>
      <c r="K108" s="182"/>
      <c r="M108" s="139" t="str">
        <f t="shared" si="14"/>
        <v/>
      </c>
      <c r="N108" s="139" t="str">
        <f t="shared" si="15"/>
        <v/>
      </c>
      <c r="R108" s="139">
        <v>4262</v>
      </c>
      <c r="S108" s="139" t="s">
        <v>112</v>
      </c>
      <c r="U108" s="139" t="str">
        <f t="shared" si="20"/>
        <v>42</v>
      </c>
      <c r="V108" s="139" t="str">
        <f t="shared" si="19"/>
        <v>426</v>
      </c>
      <c r="X108" t="s">
        <v>2163</v>
      </c>
      <c r="Y108" t="s">
        <v>2164</v>
      </c>
    </row>
    <row r="109" spans="1:25">
      <c r="A109" s="143" t="str">
        <f>IF(C109="","",VLOOKUP('Opći dio'!$C$3,'Opći dio'!$L$6:$U$137,10,FALSE))</f>
        <v/>
      </c>
      <c r="B109" s="143" t="str">
        <f>IF(C109="","",VLOOKUP('Opći dio'!$C$3,'Opći dio'!$L$6:$U$137,9,FALSE))</f>
        <v/>
      </c>
      <c r="C109" s="149"/>
      <c r="D109" s="144" t="str">
        <f t="shared" si="11"/>
        <v/>
      </c>
      <c r="E109" s="149"/>
      <c r="F109" s="144" t="str">
        <f t="shared" si="12"/>
        <v/>
      </c>
      <c r="G109" s="183"/>
      <c r="H109" s="144" t="str">
        <f t="shared" si="13"/>
        <v/>
      </c>
      <c r="I109" s="182"/>
      <c r="J109" s="182"/>
      <c r="K109" s="182"/>
      <c r="M109" s="139" t="str">
        <f t="shared" si="14"/>
        <v/>
      </c>
      <c r="N109" s="139" t="str">
        <f t="shared" si="15"/>
        <v/>
      </c>
      <c r="R109" s="139">
        <v>4263</v>
      </c>
      <c r="S109" s="139" t="s">
        <v>169</v>
      </c>
      <c r="U109" s="139" t="str">
        <f t="shared" si="20"/>
        <v>42</v>
      </c>
      <c r="V109" s="139" t="str">
        <f t="shared" si="19"/>
        <v>426</v>
      </c>
      <c r="X109" t="s">
        <v>1850</v>
      </c>
      <c r="Y109" t="s">
        <v>1851</v>
      </c>
    </row>
    <row r="110" spans="1:25">
      <c r="A110" s="143" t="str">
        <f>IF(C110="","",VLOOKUP('Opći dio'!$C$3,'Opći dio'!$L$6:$U$137,10,FALSE))</f>
        <v/>
      </c>
      <c r="B110" s="143" t="str">
        <f>IF(C110="","",VLOOKUP('Opći dio'!$C$3,'Opći dio'!$L$6:$U$137,9,FALSE))</f>
        <v/>
      </c>
      <c r="C110" s="149"/>
      <c r="D110" s="144" t="str">
        <f t="shared" si="11"/>
        <v/>
      </c>
      <c r="E110" s="149"/>
      <c r="F110" s="144" t="str">
        <f t="shared" si="12"/>
        <v/>
      </c>
      <c r="G110" s="183"/>
      <c r="H110" s="144" t="str">
        <f t="shared" si="13"/>
        <v/>
      </c>
      <c r="I110" s="182"/>
      <c r="J110" s="182"/>
      <c r="K110" s="182"/>
      <c r="M110" s="139" t="str">
        <f t="shared" si="14"/>
        <v/>
      </c>
      <c r="N110" s="139" t="str">
        <f t="shared" si="15"/>
        <v/>
      </c>
      <c r="R110" s="139">
        <v>4264</v>
      </c>
      <c r="S110" s="139" t="s">
        <v>124</v>
      </c>
      <c r="U110" s="139" t="str">
        <f t="shared" si="20"/>
        <v>42</v>
      </c>
      <c r="V110" s="139" t="str">
        <f t="shared" si="19"/>
        <v>426</v>
      </c>
      <c r="X110" t="s">
        <v>1910</v>
      </c>
      <c r="Y110" t="s">
        <v>2165</v>
      </c>
    </row>
    <row r="111" spans="1:25">
      <c r="A111" s="143" t="str">
        <f>IF(C111="","",VLOOKUP('Opći dio'!$C$3,'Opći dio'!$L$6:$U$137,10,FALSE))</f>
        <v/>
      </c>
      <c r="B111" s="143" t="str">
        <f>IF(C111="","",VLOOKUP('Opći dio'!$C$3,'Opći dio'!$L$6:$U$137,9,FALSE))</f>
        <v/>
      </c>
      <c r="C111" s="149"/>
      <c r="D111" s="144" t="str">
        <f t="shared" si="11"/>
        <v/>
      </c>
      <c r="E111" s="149"/>
      <c r="F111" s="144" t="str">
        <f t="shared" si="12"/>
        <v/>
      </c>
      <c r="G111" s="183"/>
      <c r="H111" s="144" t="str">
        <f t="shared" si="13"/>
        <v/>
      </c>
      <c r="I111" s="182"/>
      <c r="J111" s="182"/>
      <c r="K111" s="182"/>
      <c r="M111" s="139" t="str">
        <f t="shared" si="14"/>
        <v/>
      </c>
      <c r="N111" s="139" t="str">
        <f t="shared" si="15"/>
        <v/>
      </c>
      <c r="R111" s="139">
        <v>4312</v>
      </c>
      <c r="S111" s="139" t="s">
        <v>126</v>
      </c>
      <c r="U111" s="139" t="str">
        <f t="shared" si="20"/>
        <v>43</v>
      </c>
      <c r="V111" s="139" t="str">
        <f t="shared" si="19"/>
        <v>431</v>
      </c>
      <c r="X111" t="s">
        <v>2166</v>
      </c>
      <c r="Y111" t="s">
        <v>2167</v>
      </c>
    </row>
    <row r="112" spans="1:25">
      <c r="A112" s="143" t="str">
        <f>IF(C112="","",VLOOKUP('Opći dio'!$C$3,'Opći dio'!$L$6:$U$137,10,FALSE))</f>
        <v/>
      </c>
      <c r="B112" s="143" t="str">
        <f>IF(C112="","",VLOOKUP('Opći dio'!$C$3,'Opći dio'!$L$6:$U$137,9,FALSE))</f>
        <v/>
      </c>
      <c r="C112" s="149"/>
      <c r="D112" s="144" t="str">
        <f t="shared" si="11"/>
        <v/>
      </c>
      <c r="E112" s="149"/>
      <c r="F112" s="144" t="str">
        <f t="shared" si="12"/>
        <v/>
      </c>
      <c r="G112" s="183"/>
      <c r="H112" s="144" t="str">
        <f t="shared" si="13"/>
        <v/>
      </c>
      <c r="I112" s="182"/>
      <c r="J112" s="182"/>
      <c r="K112" s="182"/>
      <c r="M112" s="139" t="str">
        <f t="shared" si="14"/>
        <v/>
      </c>
      <c r="N112" s="139" t="str">
        <f t="shared" si="15"/>
        <v/>
      </c>
      <c r="R112" s="139">
        <v>4411</v>
      </c>
      <c r="S112" s="139" t="s">
        <v>170</v>
      </c>
      <c r="U112" s="139" t="str">
        <f t="shared" si="20"/>
        <v>44</v>
      </c>
      <c r="V112" s="139" t="str">
        <f t="shared" si="19"/>
        <v>441</v>
      </c>
      <c r="X112" t="s">
        <v>2168</v>
      </c>
      <c r="Y112" t="s">
        <v>2169</v>
      </c>
    </row>
    <row r="113" spans="1:25">
      <c r="A113" s="143" t="str">
        <f>IF(C113="","",VLOOKUP('Opći dio'!$C$3,'Opći dio'!$L$6:$U$137,10,FALSE))</f>
        <v/>
      </c>
      <c r="B113" s="143" t="str">
        <f>IF(C113="","",VLOOKUP('Opći dio'!$C$3,'Opći dio'!$L$6:$U$137,9,FALSE))</f>
        <v/>
      </c>
      <c r="C113" s="149"/>
      <c r="D113" s="144" t="str">
        <f t="shared" si="11"/>
        <v/>
      </c>
      <c r="E113" s="149"/>
      <c r="F113" s="144" t="str">
        <f t="shared" si="12"/>
        <v/>
      </c>
      <c r="G113" s="183"/>
      <c r="H113" s="144" t="str">
        <f t="shared" si="13"/>
        <v/>
      </c>
      <c r="I113" s="182"/>
      <c r="J113" s="182"/>
      <c r="K113" s="182"/>
      <c r="M113" s="139" t="str">
        <f t="shared" si="14"/>
        <v/>
      </c>
      <c r="N113" s="139" t="str">
        <f t="shared" si="15"/>
        <v/>
      </c>
      <c r="R113" s="139">
        <v>4511</v>
      </c>
      <c r="S113" s="139" t="s">
        <v>125</v>
      </c>
      <c r="U113" s="139" t="str">
        <f t="shared" si="20"/>
        <v>45</v>
      </c>
      <c r="V113" s="139" t="str">
        <f t="shared" si="19"/>
        <v>451</v>
      </c>
      <c r="X113" t="s">
        <v>1852</v>
      </c>
      <c r="Y113" t="s">
        <v>1853</v>
      </c>
    </row>
    <row r="114" spans="1:25">
      <c r="A114" s="143" t="str">
        <f>IF(C114="","",VLOOKUP('Opći dio'!$C$3,'Opći dio'!$L$6:$U$137,10,FALSE))</f>
        <v/>
      </c>
      <c r="B114" s="143" t="str">
        <f>IF(C114="","",VLOOKUP('Opći dio'!$C$3,'Opći dio'!$L$6:$U$137,9,FALSE))</f>
        <v/>
      </c>
      <c r="C114" s="149"/>
      <c r="D114" s="144" t="str">
        <f t="shared" si="11"/>
        <v/>
      </c>
      <c r="E114" s="149"/>
      <c r="F114" s="144" t="str">
        <f t="shared" si="12"/>
        <v/>
      </c>
      <c r="G114" s="183"/>
      <c r="H114" s="144" t="str">
        <f t="shared" si="13"/>
        <v/>
      </c>
      <c r="I114" s="182"/>
      <c r="J114" s="182"/>
      <c r="K114" s="182"/>
      <c r="M114" s="139" t="str">
        <f t="shared" si="14"/>
        <v/>
      </c>
      <c r="N114" s="139" t="str">
        <f t="shared" si="15"/>
        <v/>
      </c>
      <c r="R114" s="139">
        <v>4521</v>
      </c>
      <c r="S114" s="139" t="s">
        <v>144</v>
      </c>
      <c r="U114" s="139" t="str">
        <f t="shared" si="20"/>
        <v>45</v>
      </c>
      <c r="V114" s="139" t="str">
        <f t="shared" si="19"/>
        <v>452</v>
      </c>
      <c r="X114" t="s">
        <v>2170</v>
      </c>
      <c r="Y114" t="s">
        <v>2171</v>
      </c>
    </row>
    <row r="115" spans="1:25">
      <c r="A115" s="143" t="str">
        <f>IF(C115="","",VLOOKUP('Opći dio'!$C$3,'Opći dio'!$L$6:$U$137,10,FALSE))</f>
        <v/>
      </c>
      <c r="B115" s="143" t="str">
        <f>IF(C115="","",VLOOKUP('Opći dio'!$C$3,'Opći dio'!$L$6:$U$137,9,FALSE))</f>
        <v/>
      </c>
      <c r="C115" s="149"/>
      <c r="D115" s="144" t="str">
        <f t="shared" si="11"/>
        <v/>
      </c>
      <c r="E115" s="149"/>
      <c r="F115" s="144" t="str">
        <f t="shared" si="12"/>
        <v/>
      </c>
      <c r="G115" s="183"/>
      <c r="H115" s="144" t="str">
        <f t="shared" si="13"/>
        <v/>
      </c>
      <c r="I115" s="182"/>
      <c r="J115" s="182"/>
      <c r="K115" s="182"/>
      <c r="M115" s="139" t="str">
        <f t="shared" si="14"/>
        <v/>
      </c>
      <c r="N115" s="139" t="str">
        <f t="shared" si="15"/>
        <v/>
      </c>
      <c r="R115" s="139">
        <v>4531</v>
      </c>
      <c r="S115" s="139" t="s">
        <v>187</v>
      </c>
      <c r="U115" s="139" t="str">
        <f t="shared" si="20"/>
        <v>45</v>
      </c>
      <c r="V115" s="139" t="str">
        <f t="shared" si="19"/>
        <v>453</v>
      </c>
      <c r="X115" t="s">
        <v>2172</v>
      </c>
      <c r="Y115" t="s">
        <v>2173</v>
      </c>
    </row>
    <row r="116" spans="1:25">
      <c r="A116" s="143" t="str">
        <f>IF(C116="","",VLOOKUP('Opći dio'!$C$3,'Opći dio'!$L$6:$U$137,10,FALSE))</f>
        <v/>
      </c>
      <c r="B116" s="143" t="str">
        <f>IF(C116="","",VLOOKUP('Opći dio'!$C$3,'Opći dio'!$L$6:$U$137,9,FALSE))</f>
        <v/>
      </c>
      <c r="C116" s="149"/>
      <c r="D116" s="144" t="str">
        <f t="shared" si="11"/>
        <v/>
      </c>
      <c r="E116" s="149"/>
      <c r="F116" s="144" t="str">
        <f t="shared" si="12"/>
        <v/>
      </c>
      <c r="G116" s="183"/>
      <c r="H116" s="144" t="str">
        <f t="shared" si="13"/>
        <v/>
      </c>
      <c r="I116" s="182"/>
      <c r="J116" s="182"/>
      <c r="K116" s="182"/>
      <c r="M116" s="139" t="str">
        <f t="shared" si="14"/>
        <v/>
      </c>
      <c r="N116" s="139" t="str">
        <f t="shared" si="15"/>
        <v/>
      </c>
      <c r="R116" s="139">
        <v>4541</v>
      </c>
      <c r="S116" s="139" t="s">
        <v>139</v>
      </c>
      <c r="U116" s="139" t="str">
        <f t="shared" si="20"/>
        <v>45</v>
      </c>
      <c r="V116" s="139" t="str">
        <f t="shared" si="19"/>
        <v>454</v>
      </c>
      <c r="X116" t="s">
        <v>2190</v>
      </c>
      <c r="Y116" t="s">
        <v>2191</v>
      </c>
    </row>
    <row r="117" spans="1:25">
      <c r="A117" s="143" t="str">
        <f>IF(C117="","",VLOOKUP('Opći dio'!$C$3,'Opći dio'!$L$6:$U$137,10,FALSE))</f>
        <v/>
      </c>
      <c r="B117" s="143" t="str">
        <f>IF(C117="","",VLOOKUP('Opći dio'!$C$3,'Opći dio'!$L$6:$U$137,9,FALSE))</f>
        <v/>
      </c>
      <c r="C117" s="149"/>
      <c r="D117" s="144" t="str">
        <f t="shared" si="11"/>
        <v/>
      </c>
      <c r="E117" s="149"/>
      <c r="F117" s="144" t="str">
        <f t="shared" si="12"/>
        <v/>
      </c>
      <c r="G117" s="183"/>
      <c r="H117" s="144" t="str">
        <f t="shared" si="13"/>
        <v/>
      </c>
      <c r="I117" s="182"/>
      <c r="J117" s="182"/>
      <c r="K117" s="182"/>
      <c r="M117" s="139" t="str">
        <f t="shared" si="14"/>
        <v/>
      </c>
      <c r="N117" s="139" t="str">
        <f t="shared" si="15"/>
        <v/>
      </c>
      <c r="R117" s="139">
        <v>5121</v>
      </c>
      <c r="S117" s="139" t="s">
        <v>195</v>
      </c>
      <c r="U117" s="139" t="str">
        <f t="shared" si="20"/>
        <v>51</v>
      </c>
      <c r="V117" s="139" t="str">
        <f t="shared" si="19"/>
        <v>512</v>
      </c>
      <c r="X117" t="s">
        <v>2192</v>
      </c>
      <c r="Y117" t="s">
        <v>2193</v>
      </c>
    </row>
    <row r="118" spans="1:25">
      <c r="A118" s="143" t="str">
        <f>IF(C118="","",VLOOKUP('Opći dio'!$C$3,'Opći dio'!$L$6:$U$137,10,FALSE))</f>
        <v/>
      </c>
      <c r="B118" s="143" t="str">
        <f>IF(C118="","",VLOOKUP('Opći dio'!$C$3,'Opći dio'!$L$6:$U$137,9,FALSE))</f>
        <v/>
      </c>
      <c r="C118" s="149"/>
      <c r="D118" s="144" t="str">
        <f t="shared" si="11"/>
        <v/>
      </c>
      <c r="E118" s="149"/>
      <c r="F118" s="144" t="str">
        <f t="shared" si="12"/>
        <v/>
      </c>
      <c r="G118" s="183"/>
      <c r="H118" s="144" t="str">
        <f t="shared" si="13"/>
        <v/>
      </c>
      <c r="I118" s="182"/>
      <c r="J118" s="182"/>
      <c r="K118" s="182"/>
      <c r="M118" s="139" t="str">
        <f t="shared" si="14"/>
        <v/>
      </c>
      <c r="N118" s="139" t="str">
        <f t="shared" si="15"/>
        <v/>
      </c>
      <c r="R118" s="139">
        <v>5443</v>
      </c>
      <c r="S118" s="139" t="s">
        <v>171</v>
      </c>
      <c r="U118" s="139" t="str">
        <f t="shared" si="20"/>
        <v>54</v>
      </c>
      <c r="V118" s="139" t="str">
        <f t="shared" si="19"/>
        <v>544</v>
      </c>
      <c r="X118" t="s">
        <v>2194</v>
      </c>
      <c r="Y118" t="s">
        <v>2195</v>
      </c>
    </row>
    <row r="119" spans="1:25">
      <c r="A119" s="143" t="str">
        <f>IF(C119="","",VLOOKUP('Opći dio'!$C$3,'Opći dio'!$L$6:$U$137,10,FALSE))</f>
        <v/>
      </c>
      <c r="B119" s="143" t="str">
        <f>IF(C119="","",VLOOKUP('Opći dio'!$C$3,'Opći dio'!$L$6:$U$137,9,FALSE))</f>
        <v/>
      </c>
      <c r="C119" s="149"/>
      <c r="D119" s="144" t="str">
        <f t="shared" si="11"/>
        <v/>
      </c>
      <c r="E119" s="149"/>
      <c r="F119" s="144" t="str">
        <f t="shared" si="12"/>
        <v/>
      </c>
      <c r="G119" s="183"/>
      <c r="H119" s="144" t="str">
        <f t="shared" si="13"/>
        <v/>
      </c>
      <c r="I119" s="182"/>
      <c r="J119" s="182"/>
      <c r="K119" s="182"/>
      <c r="M119" s="139" t="str">
        <f t="shared" si="14"/>
        <v/>
      </c>
      <c r="N119" s="139" t="str">
        <f t="shared" si="15"/>
        <v/>
      </c>
      <c r="R119" s="139">
        <v>5121</v>
      </c>
      <c r="S119" s="139" t="s">
        <v>740</v>
      </c>
      <c r="U119" s="139" t="str">
        <f t="shared" si="20"/>
        <v>51</v>
      </c>
      <c r="V119" s="139" t="str">
        <f t="shared" ref="V119:V129" si="21">LEFT(R119,3)</f>
        <v>512</v>
      </c>
      <c r="X119" t="s">
        <v>2196</v>
      </c>
      <c r="Y119" t="s">
        <v>2197</v>
      </c>
    </row>
    <row r="120" spans="1:25">
      <c r="A120" s="143" t="str">
        <f>IF(C120="","",VLOOKUP('Opći dio'!$C$3,'Opći dio'!$L$6:$U$137,10,FALSE))</f>
        <v/>
      </c>
      <c r="B120" s="143" t="str">
        <f>IF(C120="","",VLOOKUP('Opći dio'!$C$3,'Opći dio'!$L$6:$U$137,9,FALSE))</f>
        <v/>
      </c>
      <c r="C120" s="149"/>
      <c r="D120" s="144" t="str">
        <f t="shared" si="11"/>
        <v/>
      </c>
      <c r="E120" s="149"/>
      <c r="F120" s="144" t="str">
        <f t="shared" si="12"/>
        <v/>
      </c>
      <c r="G120" s="183"/>
      <c r="H120" s="144" t="str">
        <f t="shared" si="13"/>
        <v/>
      </c>
      <c r="I120" s="182"/>
      <c r="J120" s="182"/>
      <c r="K120" s="182"/>
      <c r="M120" s="139" t="str">
        <f t="shared" si="14"/>
        <v/>
      </c>
      <c r="N120" s="139" t="str">
        <f t="shared" si="15"/>
        <v/>
      </c>
      <c r="R120" s="139">
        <v>5122</v>
      </c>
      <c r="S120" s="139" t="s">
        <v>741</v>
      </c>
      <c r="U120" s="139" t="str">
        <f t="shared" si="20"/>
        <v>51</v>
      </c>
      <c r="V120" s="139" t="str">
        <f t="shared" si="21"/>
        <v>512</v>
      </c>
      <c r="X120" t="s">
        <v>2198</v>
      </c>
      <c r="Y120" t="s">
        <v>2199</v>
      </c>
    </row>
    <row r="121" spans="1:25">
      <c r="A121" s="143" t="str">
        <f>IF(C121="","",VLOOKUP('Opći dio'!$C$3,'Opći dio'!$L$6:$U$137,10,FALSE))</f>
        <v/>
      </c>
      <c r="B121" s="143" t="str">
        <f>IF(C121="","",VLOOKUP('Opći dio'!$C$3,'Opći dio'!$L$6:$U$137,9,FALSE))</f>
        <v/>
      </c>
      <c r="C121" s="149"/>
      <c r="D121" s="144" t="str">
        <f t="shared" si="11"/>
        <v/>
      </c>
      <c r="E121" s="149"/>
      <c r="F121" s="144" t="str">
        <f t="shared" si="12"/>
        <v/>
      </c>
      <c r="G121" s="183"/>
      <c r="H121" s="144" t="str">
        <f t="shared" si="13"/>
        <v/>
      </c>
      <c r="I121" s="182"/>
      <c r="J121" s="182"/>
      <c r="K121" s="182"/>
      <c r="M121" s="139" t="str">
        <f t="shared" si="14"/>
        <v/>
      </c>
      <c r="N121" s="139" t="str">
        <f t="shared" si="15"/>
        <v/>
      </c>
      <c r="R121" s="139">
        <v>5141</v>
      </c>
      <c r="S121" s="139" t="s">
        <v>742</v>
      </c>
      <c r="U121" s="139" t="str">
        <f t="shared" si="20"/>
        <v>51</v>
      </c>
      <c r="V121" s="139" t="str">
        <f t="shared" si="21"/>
        <v>514</v>
      </c>
      <c r="X121" t="s">
        <v>2200</v>
      </c>
      <c r="Y121" t="s">
        <v>2201</v>
      </c>
    </row>
    <row r="122" spans="1:25">
      <c r="A122" s="143" t="str">
        <f>IF(C122="","",VLOOKUP('Opći dio'!$C$3,'Opći dio'!$L$6:$U$137,10,FALSE))</f>
        <v/>
      </c>
      <c r="B122" s="143" t="str">
        <f>IF(C122="","",VLOOKUP('Opći dio'!$C$3,'Opći dio'!$L$6:$U$137,9,FALSE))</f>
        <v/>
      </c>
      <c r="C122" s="149"/>
      <c r="D122" s="144" t="str">
        <f t="shared" si="11"/>
        <v/>
      </c>
      <c r="E122" s="149"/>
      <c r="F122" s="144" t="str">
        <f t="shared" si="12"/>
        <v/>
      </c>
      <c r="G122" s="183"/>
      <c r="H122" s="144" t="str">
        <f t="shared" si="13"/>
        <v/>
      </c>
      <c r="I122" s="182"/>
      <c r="J122" s="182"/>
      <c r="K122" s="182"/>
      <c r="M122" s="139" t="str">
        <f t="shared" si="14"/>
        <v/>
      </c>
      <c r="N122" s="139" t="str">
        <f t="shared" si="15"/>
        <v/>
      </c>
      <c r="R122" s="139">
        <v>5181</v>
      </c>
      <c r="S122" s="139" t="s">
        <v>743</v>
      </c>
      <c r="U122" s="139" t="str">
        <f t="shared" si="20"/>
        <v>51</v>
      </c>
      <c r="V122" s="139" t="str">
        <f t="shared" si="21"/>
        <v>518</v>
      </c>
      <c r="X122" t="s">
        <v>2202</v>
      </c>
      <c r="Y122" t="s">
        <v>2203</v>
      </c>
    </row>
    <row r="123" spans="1:25">
      <c r="A123" s="143" t="str">
        <f>IF(C123="","",VLOOKUP('Opći dio'!$C$3,'Opći dio'!$L$6:$U$137,10,FALSE))</f>
        <v/>
      </c>
      <c r="B123" s="143" t="str">
        <f>IF(C123="","",VLOOKUP('Opći dio'!$C$3,'Opći dio'!$L$6:$U$137,9,FALSE))</f>
        <v/>
      </c>
      <c r="C123" s="149"/>
      <c r="D123" s="144" t="str">
        <f t="shared" si="11"/>
        <v/>
      </c>
      <c r="E123" s="149"/>
      <c r="F123" s="144" t="str">
        <f t="shared" si="12"/>
        <v/>
      </c>
      <c r="G123" s="183"/>
      <c r="H123" s="144" t="str">
        <f t="shared" si="13"/>
        <v/>
      </c>
      <c r="I123" s="182"/>
      <c r="J123" s="182"/>
      <c r="K123" s="182"/>
      <c r="M123" s="139" t="str">
        <f t="shared" si="14"/>
        <v/>
      </c>
      <c r="N123" s="139" t="str">
        <f t="shared" si="15"/>
        <v/>
      </c>
      <c r="R123" s="139">
        <v>5183</v>
      </c>
      <c r="S123" s="139" t="s">
        <v>744</v>
      </c>
      <c r="U123" s="139" t="str">
        <f t="shared" si="20"/>
        <v>51</v>
      </c>
      <c r="V123" s="139" t="str">
        <f t="shared" si="21"/>
        <v>518</v>
      </c>
      <c r="X123" t="s">
        <v>2204</v>
      </c>
      <c r="Y123" t="s">
        <v>2205</v>
      </c>
    </row>
    <row r="124" spans="1:25">
      <c r="A124" s="143" t="str">
        <f>IF(C124="","",VLOOKUP('Opći dio'!$C$3,'Opći dio'!$L$6:$U$137,10,FALSE))</f>
        <v/>
      </c>
      <c r="B124" s="143" t="str">
        <f>IF(C124="","",VLOOKUP('Opći dio'!$C$3,'Opći dio'!$L$6:$U$137,9,FALSE))</f>
        <v/>
      </c>
      <c r="C124" s="149"/>
      <c r="D124" s="144" t="str">
        <f t="shared" si="11"/>
        <v/>
      </c>
      <c r="E124" s="149"/>
      <c r="F124" s="144" t="str">
        <f t="shared" si="12"/>
        <v/>
      </c>
      <c r="G124" s="183"/>
      <c r="H124" s="144" t="str">
        <f t="shared" si="13"/>
        <v/>
      </c>
      <c r="I124" s="182"/>
      <c r="J124" s="182"/>
      <c r="K124" s="182"/>
      <c r="M124" s="139" t="str">
        <f t="shared" si="14"/>
        <v/>
      </c>
      <c r="N124" s="139" t="str">
        <f t="shared" si="15"/>
        <v/>
      </c>
      <c r="R124" s="139">
        <v>5422</v>
      </c>
      <c r="S124" s="139" t="s">
        <v>745</v>
      </c>
      <c r="U124" s="139" t="str">
        <f t="shared" si="20"/>
        <v>54</v>
      </c>
      <c r="V124" s="139" t="str">
        <f t="shared" si="21"/>
        <v>542</v>
      </c>
      <c r="X124" t="s">
        <v>2206</v>
      </c>
      <c r="Y124" t="s">
        <v>2207</v>
      </c>
    </row>
    <row r="125" spans="1:25">
      <c r="A125" s="143" t="str">
        <f>IF(C125="","",VLOOKUP('Opći dio'!$C$3,'Opći dio'!$L$6:$U$137,10,FALSE))</f>
        <v/>
      </c>
      <c r="B125" s="143" t="str">
        <f>IF(C125="","",VLOOKUP('Opći dio'!$C$3,'Opći dio'!$L$6:$U$137,9,FALSE))</f>
        <v/>
      </c>
      <c r="C125" s="149"/>
      <c r="D125" s="144" t="str">
        <f t="shared" si="11"/>
        <v/>
      </c>
      <c r="E125" s="149"/>
      <c r="F125" s="144" t="str">
        <f t="shared" si="12"/>
        <v/>
      </c>
      <c r="G125" s="183"/>
      <c r="H125" s="144" t="str">
        <f t="shared" si="13"/>
        <v/>
      </c>
      <c r="I125" s="182"/>
      <c r="J125" s="182"/>
      <c r="K125" s="182"/>
      <c r="M125" s="139" t="str">
        <f t="shared" si="14"/>
        <v/>
      </c>
      <c r="N125" s="139" t="str">
        <f t="shared" si="15"/>
        <v/>
      </c>
      <c r="R125" s="139">
        <v>5431</v>
      </c>
      <c r="S125" s="139" t="s">
        <v>356</v>
      </c>
      <c r="U125" s="139" t="str">
        <f t="shared" si="20"/>
        <v>54</v>
      </c>
      <c r="V125" s="139" t="str">
        <f t="shared" si="21"/>
        <v>543</v>
      </c>
      <c r="X125" t="s">
        <v>2208</v>
      </c>
      <c r="Y125" t="s">
        <v>2209</v>
      </c>
    </row>
    <row r="126" spans="1:25">
      <c r="A126" s="143" t="str">
        <f>IF(C126="","",VLOOKUP('Opći dio'!$C$3,'Opći dio'!$L$6:$U$137,10,FALSE))</f>
        <v/>
      </c>
      <c r="B126" s="143" t="str">
        <f>IF(C126="","",VLOOKUP('Opći dio'!$C$3,'Opći dio'!$L$6:$U$137,9,FALSE))</f>
        <v/>
      </c>
      <c r="C126" s="149"/>
      <c r="D126" s="144" t="str">
        <f t="shared" si="11"/>
        <v/>
      </c>
      <c r="E126" s="149"/>
      <c r="F126" s="144" t="str">
        <f t="shared" si="12"/>
        <v/>
      </c>
      <c r="G126" s="183"/>
      <c r="H126" s="144" t="str">
        <f t="shared" si="13"/>
        <v/>
      </c>
      <c r="I126" s="182"/>
      <c r="J126" s="182"/>
      <c r="K126" s="182"/>
      <c r="M126" s="139" t="str">
        <f t="shared" si="14"/>
        <v/>
      </c>
      <c r="N126" s="139" t="str">
        <f t="shared" si="15"/>
        <v/>
      </c>
      <c r="R126" s="139">
        <v>5443</v>
      </c>
      <c r="S126" s="139" t="s">
        <v>746</v>
      </c>
      <c r="U126" s="139" t="str">
        <f t="shared" si="20"/>
        <v>54</v>
      </c>
      <c r="V126" s="139" t="str">
        <f t="shared" si="21"/>
        <v>544</v>
      </c>
      <c r="X126" t="s">
        <v>2210</v>
      </c>
      <c r="Y126" t="s">
        <v>2211</v>
      </c>
    </row>
    <row r="127" spans="1:25">
      <c r="A127" s="143" t="str">
        <f>IF(C127="","",VLOOKUP('Opći dio'!$C$3,'Opći dio'!$L$6:$U$137,10,FALSE))</f>
        <v/>
      </c>
      <c r="B127" s="143" t="str">
        <f>IF(C127="","",VLOOKUP('Opći dio'!$C$3,'Opći dio'!$L$6:$U$137,9,FALSE))</f>
        <v/>
      </c>
      <c r="C127" s="149"/>
      <c r="D127" s="144" t="str">
        <f t="shared" si="11"/>
        <v/>
      </c>
      <c r="E127" s="149"/>
      <c r="F127" s="144" t="str">
        <f t="shared" si="12"/>
        <v/>
      </c>
      <c r="G127" s="183"/>
      <c r="H127" s="144" t="str">
        <f t="shared" si="13"/>
        <v/>
      </c>
      <c r="I127" s="182"/>
      <c r="J127" s="182"/>
      <c r="K127" s="182"/>
      <c r="M127" s="139" t="str">
        <f t="shared" si="14"/>
        <v/>
      </c>
      <c r="N127" s="139" t="str">
        <f t="shared" si="15"/>
        <v/>
      </c>
      <c r="R127" s="139">
        <v>5445</v>
      </c>
      <c r="S127" s="139" t="s">
        <v>747</v>
      </c>
      <c r="U127" s="139" t="str">
        <f t="shared" si="20"/>
        <v>54</v>
      </c>
      <c r="V127" s="139" t="str">
        <f t="shared" si="21"/>
        <v>544</v>
      </c>
      <c r="X127" t="s">
        <v>2218</v>
      </c>
      <c r="Y127" t="s">
        <v>2219</v>
      </c>
    </row>
    <row r="128" spans="1:25">
      <c r="A128" s="143" t="str">
        <f>IF(C128="","",VLOOKUP('Opći dio'!$C$3,'Opći dio'!$L$6:$U$137,10,FALSE))</f>
        <v/>
      </c>
      <c r="B128" s="143" t="str">
        <f>IF(C128="","",VLOOKUP('Opći dio'!$C$3,'Opći dio'!$L$6:$U$137,9,FALSE))</f>
        <v/>
      </c>
      <c r="C128" s="149"/>
      <c r="D128" s="144" t="str">
        <f t="shared" si="11"/>
        <v/>
      </c>
      <c r="E128" s="149"/>
      <c r="F128" s="144" t="str">
        <f t="shared" si="12"/>
        <v/>
      </c>
      <c r="G128" s="183"/>
      <c r="H128" s="144" t="str">
        <f t="shared" si="13"/>
        <v/>
      </c>
      <c r="I128" s="182"/>
      <c r="J128" s="182"/>
      <c r="K128" s="182"/>
      <c r="M128" s="139" t="str">
        <f t="shared" si="14"/>
        <v/>
      </c>
      <c r="N128" s="139" t="str">
        <f t="shared" si="15"/>
        <v/>
      </c>
      <c r="R128" s="139">
        <v>5453</v>
      </c>
      <c r="S128" s="139" t="s">
        <v>748</v>
      </c>
      <c r="U128" s="139" t="str">
        <f t="shared" si="20"/>
        <v>54</v>
      </c>
      <c r="V128" s="139" t="str">
        <f t="shared" si="21"/>
        <v>545</v>
      </c>
      <c r="X128" t="s">
        <v>2220</v>
      </c>
      <c r="Y128" t="s">
        <v>2221</v>
      </c>
    </row>
    <row r="129" spans="1:25">
      <c r="A129" s="143" t="str">
        <f>IF(C129="","",VLOOKUP('Opći dio'!$C$3,'Opći dio'!$L$6:$U$137,10,FALSE))</f>
        <v/>
      </c>
      <c r="B129" s="143" t="str">
        <f>IF(C129="","",VLOOKUP('Opći dio'!$C$3,'Opći dio'!$L$6:$U$137,9,FALSE))</f>
        <v/>
      </c>
      <c r="C129" s="149"/>
      <c r="D129" s="144" t="str">
        <f t="shared" si="11"/>
        <v/>
      </c>
      <c r="E129" s="149"/>
      <c r="F129" s="144" t="str">
        <f t="shared" si="12"/>
        <v/>
      </c>
      <c r="G129" s="183"/>
      <c r="H129" s="144" t="str">
        <f t="shared" si="13"/>
        <v/>
      </c>
      <c r="I129" s="182"/>
      <c r="J129" s="182"/>
      <c r="K129" s="182"/>
      <c r="M129" s="139" t="str">
        <f t="shared" si="14"/>
        <v/>
      </c>
      <c r="N129" s="139" t="str">
        <f t="shared" si="15"/>
        <v/>
      </c>
      <c r="R129" s="139">
        <v>5472</v>
      </c>
      <c r="S129" s="139" t="s">
        <v>749</v>
      </c>
      <c r="U129" s="139" t="str">
        <f t="shared" si="20"/>
        <v>54</v>
      </c>
      <c r="V129" s="139" t="str">
        <f t="shared" si="21"/>
        <v>547</v>
      </c>
      <c r="X129" t="s">
        <v>2222</v>
      </c>
      <c r="Y129" t="s">
        <v>2223</v>
      </c>
    </row>
    <row r="130" spans="1:25">
      <c r="A130" s="143" t="str">
        <f>IF(C130="","",VLOOKUP('Opći dio'!$C$3,'Opći dio'!$L$6:$U$137,10,FALSE))</f>
        <v/>
      </c>
      <c r="B130" s="143" t="str">
        <f>IF(C130="","",VLOOKUP('Opći dio'!$C$3,'Opći dio'!$L$6:$U$137,9,FALSE))</f>
        <v/>
      </c>
      <c r="C130" s="149"/>
      <c r="D130" s="144" t="str">
        <f t="shared" si="11"/>
        <v/>
      </c>
      <c r="E130" s="149"/>
      <c r="F130" s="144" t="str">
        <f t="shared" si="12"/>
        <v/>
      </c>
      <c r="G130" s="183"/>
      <c r="H130" s="144" t="str">
        <f t="shared" si="13"/>
        <v/>
      </c>
      <c r="I130" s="182"/>
      <c r="J130" s="182"/>
      <c r="K130" s="182"/>
      <c r="M130" s="139" t="str">
        <f t="shared" si="14"/>
        <v/>
      </c>
      <c r="N130" s="139" t="str">
        <f t="shared" si="15"/>
        <v/>
      </c>
      <c r="X130" t="s">
        <v>2230</v>
      </c>
      <c r="Y130" t="s">
        <v>2231</v>
      </c>
    </row>
    <row r="131" spans="1:25">
      <c r="A131" s="143" t="str">
        <f>IF(C131="","",VLOOKUP('Opći dio'!$C$3,'Opći dio'!$L$6:$U$137,10,FALSE))</f>
        <v/>
      </c>
      <c r="B131" s="143" t="str">
        <f>IF(C131="","",VLOOKUP('Opći dio'!$C$3,'Opći dio'!$L$6:$U$137,9,FALSE))</f>
        <v/>
      </c>
      <c r="C131" s="149"/>
      <c r="D131" s="144" t="str">
        <f t="shared" si="11"/>
        <v/>
      </c>
      <c r="E131" s="149"/>
      <c r="F131" s="144" t="str">
        <f t="shared" si="12"/>
        <v/>
      </c>
      <c r="G131" s="183"/>
      <c r="H131" s="144" t="str">
        <f t="shared" si="13"/>
        <v/>
      </c>
      <c r="I131" s="182"/>
      <c r="J131" s="182"/>
      <c r="K131" s="182"/>
      <c r="M131" s="139" t="str">
        <f t="shared" si="14"/>
        <v/>
      </c>
      <c r="N131" s="139" t="str">
        <f t="shared" si="15"/>
        <v/>
      </c>
      <c r="X131" t="s">
        <v>2232</v>
      </c>
      <c r="Y131" t="s">
        <v>2233</v>
      </c>
    </row>
    <row r="132" spans="1:25">
      <c r="A132" s="143" t="str">
        <f>IF(C132="","",VLOOKUP('Opći dio'!$C$3,'Opći dio'!$L$6:$U$137,10,FALSE))</f>
        <v/>
      </c>
      <c r="B132" s="143" t="str">
        <f>IF(C132="","",VLOOKUP('Opći dio'!$C$3,'Opći dio'!$L$6:$U$137,9,FALSE))</f>
        <v/>
      </c>
      <c r="C132" s="149"/>
      <c r="D132" s="144" t="str">
        <f t="shared" ref="D132:D195" si="22">IFERROR(VLOOKUP(C132,$O$6:$P$23,2,FALSE),"")</f>
        <v/>
      </c>
      <c r="E132" s="149"/>
      <c r="F132" s="144" t="str">
        <f t="shared" ref="F132:F195" si="23">IFERROR(VLOOKUP(E132,$R$5:$T$129,2,FALSE),"")</f>
        <v/>
      </c>
      <c r="G132" s="183"/>
      <c r="H132" s="144" t="str">
        <f t="shared" ref="H132:H195" si="24">IFERROR(VLOOKUP(G132,$X$6:$Y$297,2,FALSE),"")</f>
        <v/>
      </c>
      <c r="I132" s="182"/>
      <c r="J132" s="182"/>
      <c r="K132" s="182"/>
      <c r="M132" s="139" t="str">
        <f t="shared" ref="M132:M195" si="25">LEFT(E132,3)</f>
        <v/>
      </c>
      <c r="N132" s="139" t="str">
        <f t="shared" ref="N132:N195" si="26">LEFT(E132,2)</f>
        <v/>
      </c>
      <c r="X132" t="s">
        <v>2236</v>
      </c>
      <c r="Y132" t="s">
        <v>2237</v>
      </c>
    </row>
    <row r="133" spans="1:25">
      <c r="A133" s="143" t="str">
        <f>IF(C133="","",VLOOKUP('Opći dio'!$C$3,'Opći dio'!$L$6:$U$137,10,FALSE))</f>
        <v/>
      </c>
      <c r="B133" s="143" t="str">
        <f>IF(C133="","",VLOOKUP('Opći dio'!$C$3,'Opći dio'!$L$6:$U$137,9,FALSE))</f>
        <v/>
      </c>
      <c r="C133" s="149"/>
      <c r="D133" s="144" t="str">
        <f t="shared" si="22"/>
        <v/>
      </c>
      <c r="E133" s="149"/>
      <c r="F133" s="144" t="str">
        <f t="shared" si="23"/>
        <v/>
      </c>
      <c r="G133" s="183"/>
      <c r="H133" s="144" t="str">
        <f t="shared" si="24"/>
        <v/>
      </c>
      <c r="I133" s="182"/>
      <c r="J133" s="182"/>
      <c r="K133" s="182"/>
      <c r="M133" s="139" t="str">
        <f t="shared" si="25"/>
        <v/>
      </c>
      <c r="N133" s="139" t="str">
        <f t="shared" si="26"/>
        <v/>
      </c>
      <c r="X133" t="s">
        <v>1855</v>
      </c>
      <c r="Y133" t="s">
        <v>1856</v>
      </c>
    </row>
    <row r="134" spans="1:25">
      <c r="A134" s="143" t="str">
        <f>IF(C134="","",VLOOKUP('Opći dio'!$C$3,'Opći dio'!$L$6:$U$137,10,FALSE))</f>
        <v/>
      </c>
      <c r="B134" s="143" t="str">
        <f>IF(C134="","",VLOOKUP('Opći dio'!$C$3,'Opći dio'!$L$6:$U$137,9,FALSE))</f>
        <v/>
      </c>
      <c r="C134" s="149"/>
      <c r="D134" s="144" t="str">
        <f t="shared" si="22"/>
        <v/>
      </c>
      <c r="E134" s="149"/>
      <c r="F134" s="144" t="str">
        <f t="shared" si="23"/>
        <v/>
      </c>
      <c r="G134" s="183"/>
      <c r="H134" s="144" t="str">
        <f t="shared" si="24"/>
        <v/>
      </c>
      <c r="I134" s="182"/>
      <c r="J134" s="182"/>
      <c r="K134" s="182"/>
      <c r="M134" s="139" t="str">
        <f t="shared" si="25"/>
        <v/>
      </c>
      <c r="N134" s="139" t="str">
        <f t="shared" si="26"/>
        <v/>
      </c>
      <c r="X134" t="s">
        <v>2238</v>
      </c>
      <c r="Y134" t="s">
        <v>2213</v>
      </c>
    </row>
    <row r="135" spans="1:25">
      <c r="A135" s="143" t="str">
        <f>IF(C135="","",VLOOKUP('Opći dio'!$C$3,'Opći dio'!$L$6:$U$137,10,FALSE))</f>
        <v/>
      </c>
      <c r="B135" s="143" t="str">
        <f>IF(C135="","",VLOOKUP('Opći dio'!$C$3,'Opći dio'!$L$6:$U$137,9,FALSE))</f>
        <v/>
      </c>
      <c r="C135" s="149"/>
      <c r="D135" s="144" t="str">
        <f t="shared" si="22"/>
        <v/>
      </c>
      <c r="E135" s="149"/>
      <c r="F135" s="144" t="str">
        <f t="shared" si="23"/>
        <v/>
      </c>
      <c r="G135" s="183"/>
      <c r="H135" s="144" t="str">
        <f t="shared" si="24"/>
        <v/>
      </c>
      <c r="I135" s="182"/>
      <c r="J135" s="182"/>
      <c r="K135" s="182"/>
      <c r="M135" s="139" t="str">
        <f t="shared" si="25"/>
        <v/>
      </c>
      <c r="N135" s="139" t="str">
        <f t="shared" si="26"/>
        <v/>
      </c>
      <c r="X135" t="s">
        <v>2239</v>
      </c>
      <c r="Y135" t="s">
        <v>2240</v>
      </c>
    </row>
    <row r="136" spans="1:25">
      <c r="A136" s="143" t="str">
        <f>IF(C136="","",VLOOKUP('Opći dio'!$C$3,'Opći dio'!$L$6:$U$137,10,FALSE))</f>
        <v/>
      </c>
      <c r="B136" s="143" t="str">
        <f>IF(C136="","",VLOOKUP('Opći dio'!$C$3,'Opći dio'!$L$6:$U$137,9,FALSE))</f>
        <v/>
      </c>
      <c r="C136" s="149"/>
      <c r="D136" s="144" t="str">
        <f t="shared" si="22"/>
        <v/>
      </c>
      <c r="E136" s="149"/>
      <c r="F136" s="144" t="str">
        <f t="shared" si="23"/>
        <v/>
      </c>
      <c r="G136" s="183"/>
      <c r="H136" s="144" t="str">
        <f t="shared" si="24"/>
        <v/>
      </c>
      <c r="I136" s="182"/>
      <c r="J136" s="182"/>
      <c r="K136" s="182"/>
      <c r="M136" s="139" t="str">
        <f t="shared" si="25"/>
        <v/>
      </c>
      <c r="N136" s="139" t="str">
        <f t="shared" si="26"/>
        <v/>
      </c>
      <c r="X136" t="s">
        <v>52</v>
      </c>
      <c r="Y136" t="s">
        <v>53</v>
      </c>
    </row>
    <row r="137" spans="1:25">
      <c r="A137" s="143" t="str">
        <f>IF(C137="","",VLOOKUP('Opći dio'!$C$3,'Opći dio'!$L$6:$U$137,10,FALSE))</f>
        <v/>
      </c>
      <c r="B137" s="143" t="str">
        <f>IF(C137="","",VLOOKUP('Opći dio'!$C$3,'Opći dio'!$L$6:$U$137,9,FALSE))</f>
        <v/>
      </c>
      <c r="C137" s="149"/>
      <c r="D137" s="144" t="str">
        <f t="shared" si="22"/>
        <v/>
      </c>
      <c r="E137" s="149"/>
      <c r="F137" s="144" t="str">
        <f t="shared" si="23"/>
        <v/>
      </c>
      <c r="G137" s="183"/>
      <c r="H137" s="144" t="str">
        <f t="shared" si="24"/>
        <v/>
      </c>
      <c r="I137" s="182"/>
      <c r="J137" s="182"/>
      <c r="K137" s="182"/>
      <c r="M137" s="139" t="str">
        <f t="shared" si="25"/>
        <v/>
      </c>
      <c r="N137" s="139" t="str">
        <f t="shared" si="26"/>
        <v/>
      </c>
      <c r="X137" t="s">
        <v>62</v>
      </c>
      <c r="Y137" t="s">
        <v>63</v>
      </c>
    </row>
    <row r="138" spans="1:25">
      <c r="A138" s="143" t="str">
        <f>IF(C138="","",VLOOKUP('Opći dio'!$C$3,'Opći dio'!$L$6:$U$137,10,FALSE))</f>
        <v/>
      </c>
      <c r="B138" s="143" t="str">
        <f>IF(C138="","",VLOOKUP('Opći dio'!$C$3,'Opći dio'!$L$6:$U$137,9,FALSE))</f>
        <v/>
      </c>
      <c r="C138" s="149"/>
      <c r="D138" s="144" t="str">
        <f t="shared" si="22"/>
        <v/>
      </c>
      <c r="E138" s="149"/>
      <c r="F138" s="144" t="str">
        <f t="shared" si="23"/>
        <v/>
      </c>
      <c r="G138" s="183"/>
      <c r="H138" s="144" t="str">
        <f t="shared" si="24"/>
        <v/>
      </c>
      <c r="I138" s="182"/>
      <c r="J138" s="182"/>
      <c r="K138" s="182"/>
      <c r="M138" s="139" t="str">
        <f t="shared" si="25"/>
        <v/>
      </c>
      <c r="N138" s="139" t="str">
        <f t="shared" si="26"/>
        <v/>
      </c>
      <c r="X138" t="s">
        <v>65</v>
      </c>
      <c r="Y138" t="s">
        <v>66</v>
      </c>
    </row>
    <row r="139" spans="1:25">
      <c r="A139" s="143" t="str">
        <f>IF(C139="","",VLOOKUP('Opći dio'!$C$3,'Opći dio'!$L$6:$U$137,10,FALSE))</f>
        <v/>
      </c>
      <c r="B139" s="143" t="str">
        <f>IF(C139="","",VLOOKUP('Opći dio'!$C$3,'Opći dio'!$L$6:$U$137,9,FALSE))</f>
        <v/>
      </c>
      <c r="C139" s="149"/>
      <c r="D139" s="144" t="str">
        <f t="shared" si="22"/>
        <v/>
      </c>
      <c r="E139" s="149"/>
      <c r="F139" s="144" t="str">
        <f t="shared" si="23"/>
        <v/>
      </c>
      <c r="G139" s="183"/>
      <c r="H139" s="144" t="str">
        <f t="shared" si="24"/>
        <v/>
      </c>
      <c r="I139" s="182"/>
      <c r="J139" s="182"/>
      <c r="K139" s="182"/>
      <c r="M139" s="139" t="str">
        <f t="shared" si="25"/>
        <v/>
      </c>
      <c r="N139" s="139" t="str">
        <f t="shared" si="26"/>
        <v/>
      </c>
      <c r="X139" t="s">
        <v>67</v>
      </c>
      <c r="Y139" t="s">
        <v>68</v>
      </c>
    </row>
    <row r="140" spans="1:25">
      <c r="A140" s="143" t="str">
        <f>IF(C140="","",VLOOKUP('Opći dio'!$C$3,'Opći dio'!$L$6:$U$137,10,FALSE))</f>
        <v/>
      </c>
      <c r="B140" s="143" t="str">
        <f>IF(C140="","",VLOOKUP('Opći dio'!$C$3,'Opći dio'!$L$6:$U$137,9,FALSE))</f>
        <v/>
      </c>
      <c r="C140" s="149"/>
      <c r="D140" s="144" t="str">
        <f t="shared" si="22"/>
        <v/>
      </c>
      <c r="E140" s="149"/>
      <c r="F140" s="144" t="str">
        <f t="shared" si="23"/>
        <v/>
      </c>
      <c r="G140" s="183"/>
      <c r="H140" s="144" t="str">
        <f t="shared" si="24"/>
        <v/>
      </c>
      <c r="I140" s="182"/>
      <c r="J140" s="182"/>
      <c r="K140" s="182"/>
      <c r="M140" s="139" t="str">
        <f t="shared" si="25"/>
        <v/>
      </c>
      <c r="N140" s="139" t="str">
        <f t="shared" si="26"/>
        <v/>
      </c>
      <c r="X140" t="s">
        <v>777</v>
      </c>
      <c r="Y140" t="s">
        <v>778</v>
      </c>
    </row>
    <row r="141" spans="1:25">
      <c r="A141" s="143" t="str">
        <f>IF(C141="","",VLOOKUP('Opći dio'!$C$3,'Opći dio'!$L$6:$U$137,10,FALSE))</f>
        <v/>
      </c>
      <c r="B141" s="143" t="str">
        <f>IF(C141="","",VLOOKUP('Opći dio'!$C$3,'Opći dio'!$L$6:$U$137,9,FALSE))</f>
        <v/>
      </c>
      <c r="C141" s="149"/>
      <c r="D141" s="144" t="str">
        <f t="shared" si="22"/>
        <v/>
      </c>
      <c r="E141" s="149"/>
      <c r="F141" s="144" t="str">
        <f t="shared" si="23"/>
        <v/>
      </c>
      <c r="G141" s="183"/>
      <c r="H141" s="144" t="str">
        <f t="shared" si="24"/>
        <v/>
      </c>
      <c r="I141" s="182"/>
      <c r="J141" s="182"/>
      <c r="K141" s="182"/>
      <c r="M141" s="139" t="str">
        <f t="shared" si="25"/>
        <v/>
      </c>
      <c r="N141" s="139" t="str">
        <f t="shared" si="26"/>
        <v/>
      </c>
      <c r="X141" t="s">
        <v>72</v>
      </c>
      <c r="Y141" t="s">
        <v>73</v>
      </c>
    </row>
    <row r="142" spans="1:25">
      <c r="A142" s="143" t="str">
        <f>IF(C142="","",VLOOKUP('Opći dio'!$C$3,'Opći dio'!$L$6:$U$137,10,FALSE))</f>
        <v/>
      </c>
      <c r="B142" s="143" t="str">
        <f>IF(C142="","",VLOOKUP('Opći dio'!$C$3,'Opći dio'!$L$6:$U$137,9,FALSE))</f>
        <v/>
      </c>
      <c r="C142" s="149"/>
      <c r="D142" s="144" t="str">
        <f t="shared" si="22"/>
        <v/>
      </c>
      <c r="E142" s="149"/>
      <c r="F142" s="144" t="str">
        <f t="shared" si="23"/>
        <v/>
      </c>
      <c r="G142" s="183"/>
      <c r="H142" s="144" t="str">
        <f t="shared" si="24"/>
        <v/>
      </c>
      <c r="I142" s="182"/>
      <c r="J142" s="182"/>
      <c r="K142" s="182"/>
      <c r="M142" s="139" t="str">
        <f t="shared" si="25"/>
        <v/>
      </c>
      <c r="N142" s="139" t="str">
        <f t="shared" si="26"/>
        <v/>
      </c>
      <c r="X142" t="s">
        <v>74</v>
      </c>
      <c r="Y142" t="s">
        <v>75</v>
      </c>
    </row>
    <row r="143" spans="1:25">
      <c r="A143" s="143" t="str">
        <f>IF(C143="","",VLOOKUP('Opći dio'!$C$3,'Opći dio'!$L$6:$U$137,10,FALSE))</f>
        <v/>
      </c>
      <c r="B143" s="143" t="str">
        <f>IF(C143="","",VLOOKUP('Opći dio'!$C$3,'Opći dio'!$L$6:$U$137,9,FALSE))</f>
        <v/>
      </c>
      <c r="C143" s="149"/>
      <c r="D143" s="144" t="str">
        <f t="shared" si="22"/>
        <v/>
      </c>
      <c r="E143" s="149"/>
      <c r="F143" s="144" t="str">
        <f t="shared" si="23"/>
        <v/>
      </c>
      <c r="G143" s="183"/>
      <c r="H143" s="144" t="str">
        <f t="shared" si="24"/>
        <v/>
      </c>
      <c r="I143" s="182"/>
      <c r="J143" s="182"/>
      <c r="K143" s="182"/>
      <c r="M143" s="139" t="str">
        <f t="shared" si="25"/>
        <v/>
      </c>
      <c r="N143" s="139" t="str">
        <f t="shared" si="26"/>
        <v/>
      </c>
      <c r="X143" t="s">
        <v>76</v>
      </c>
      <c r="Y143" t="s">
        <v>77</v>
      </c>
    </row>
    <row r="144" spans="1:25">
      <c r="A144" s="143" t="str">
        <f>IF(C144="","",VLOOKUP('Opći dio'!$C$3,'Opći dio'!$L$6:$U$137,10,FALSE))</f>
        <v/>
      </c>
      <c r="B144" s="143" t="str">
        <f>IF(C144="","",VLOOKUP('Opći dio'!$C$3,'Opći dio'!$L$6:$U$137,9,FALSE))</f>
        <v/>
      </c>
      <c r="C144" s="149"/>
      <c r="D144" s="144" t="str">
        <f t="shared" si="22"/>
        <v/>
      </c>
      <c r="E144" s="149"/>
      <c r="F144" s="144" t="str">
        <f t="shared" si="23"/>
        <v/>
      </c>
      <c r="G144" s="183"/>
      <c r="H144" s="144" t="str">
        <f t="shared" si="24"/>
        <v/>
      </c>
      <c r="I144" s="182"/>
      <c r="J144" s="182"/>
      <c r="K144" s="182"/>
      <c r="M144" s="139" t="str">
        <f t="shared" si="25"/>
        <v/>
      </c>
      <c r="N144" s="139" t="str">
        <f t="shared" si="26"/>
        <v/>
      </c>
      <c r="X144" t="s">
        <v>79</v>
      </c>
      <c r="Y144" t="s">
        <v>80</v>
      </c>
    </row>
    <row r="145" spans="1:25">
      <c r="A145" s="143" t="str">
        <f>IF(C145="","",VLOOKUP('Opći dio'!$C$3,'Opći dio'!$L$6:$U$137,10,FALSE))</f>
        <v/>
      </c>
      <c r="B145" s="143" t="str">
        <f>IF(C145="","",VLOOKUP('Opći dio'!$C$3,'Opći dio'!$L$6:$U$137,9,FALSE))</f>
        <v/>
      </c>
      <c r="C145" s="149"/>
      <c r="D145" s="144" t="str">
        <f t="shared" si="22"/>
        <v/>
      </c>
      <c r="E145" s="149"/>
      <c r="F145" s="144" t="str">
        <f t="shared" si="23"/>
        <v/>
      </c>
      <c r="G145" s="183"/>
      <c r="H145" s="144" t="str">
        <f t="shared" si="24"/>
        <v/>
      </c>
      <c r="I145" s="182"/>
      <c r="J145" s="182"/>
      <c r="K145" s="182"/>
      <c r="M145" s="139" t="str">
        <f t="shared" si="25"/>
        <v/>
      </c>
      <c r="N145" s="139" t="str">
        <f t="shared" si="26"/>
        <v/>
      </c>
      <c r="X145" t="s">
        <v>781</v>
      </c>
      <c r="Y145" t="s">
        <v>782</v>
      </c>
    </row>
    <row r="146" spans="1:25">
      <c r="A146" s="143" t="str">
        <f>IF(C146="","",VLOOKUP('Opći dio'!$C$3,'Opći dio'!$L$6:$U$137,10,FALSE))</f>
        <v/>
      </c>
      <c r="B146" s="143" t="str">
        <f>IF(C146="","",VLOOKUP('Opći dio'!$C$3,'Opći dio'!$L$6:$U$137,9,FALSE))</f>
        <v/>
      </c>
      <c r="C146" s="149"/>
      <c r="D146" s="144" t="str">
        <f t="shared" si="22"/>
        <v/>
      </c>
      <c r="E146" s="149"/>
      <c r="F146" s="144" t="str">
        <f t="shared" si="23"/>
        <v/>
      </c>
      <c r="G146" s="183"/>
      <c r="H146" s="144" t="str">
        <f t="shared" si="24"/>
        <v/>
      </c>
      <c r="I146" s="182"/>
      <c r="J146" s="182"/>
      <c r="K146" s="182"/>
      <c r="M146" s="139" t="str">
        <f t="shared" si="25"/>
        <v/>
      </c>
      <c r="N146" s="139" t="str">
        <f t="shared" si="26"/>
        <v/>
      </c>
      <c r="X146" t="s">
        <v>2086</v>
      </c>
      <c r="Y146" t="s">
        <v>1058</v>
      </c>
    </row>
    <row r="147" spans="1:25">
      <c r="A147" s="143" t="str">
        <f>IF(C147="","",VLOOKUP('Opći dio'!$C$3,'Opći dio'!$L$6:$U$137,10,FALSE))</f>
        <v/>
      </c>
      <c r="B147" s="143" t="str">
        <f>IF(C147="","",VLOOKUP('Opći dio'!$C$3,'Opći dio'!$L$6:$U$137,9,FALSE))</f>
        <v/>
      </c>
      <c r="C147" s="149"/>
      <c r="D147" s="144" t="str">
        <f t="shared" si="22"/>
        <v/>
      </c>
      <c r="E147" s="149"/>
      <c r="F147" s="144" t="str">
        <f t="shared" si="23"/>
        <v/>
      </c>
      <c r="G147" s="183"/>
      <c r="H147" s="144" t="str">
        <f t="shared" si="24"/>
        <v/>
      </c>
      <c r="I147" s="182"/>
      <c r="J147" s="182"/>
      <c r="K147" s="182"/>
      <c r="M147" s="139" t="str">
        <f t="shared" si="25"/>
        <v/>
      </c>
      <c r="N147" s="139" t="str">
        <f t="shared" si="26"/>
        <v/>
      </c>
      <c r="X147" t="s">
        <v>1059</v>
      </c>
      <c r="Y147" t="s">
        <v>1060</v>
      </c>
    </row>
    <row r="148" spans="1:25">
      <c r="A148" s="143" t="str">
        <f>IF(C148="","",VLOOKUP('Opći dio'!$C$3,'Opći dio'!$L$6:$U$137,10,FALSE))</f>
        <v/>
      </c>
      <c r="B148" s="143" t="str">
        <f>IF(C148="","",VLOOKUP('Opći dio'!$C$3,'Opći dio'!$L$6:$U$137,9,FALSE))</f>
        <v/>
      </c>
      <c r="C148" s="149"/>
      <c r="D148" s="144" t="str">
        <f t="shared" si="22"/>
        <v/>
      </c>
      <c r="E148" s="149"/>
      <c r="F148" s="144" t="str">
        <f t="shared" si="23"/>
        <v/>
      </c>
      <c r="G148" s="183"/>
      <c r="H148" s="144" t="str">
        <f t="shared" si="24"/>
        <v/>
      </c>
      <c r="I148" s="182"/>
      <c r="J148" s="182"/>
      <c r="K148" s="182"/>
      <c r="M148" s="139" t="str">
        <f t="shared" si="25"/>
        <v/>
      </c>
      <c r="N148" s="139" t="str">
        <f t="shared" si="26"/>
        <v/>
      </c>
      <c r="X148" t="s">
        <v>783</v>
      </c>
      <c r="Y148" t="s">
        <v>784</v>
      </c>
    </row>
    <row r="149" spans="1:25">
      <c r="A149" s="143" t="str">
        <f>IF(C149="","",VLOOKUP('Opći dio'!$C$3,'Opći dio'!$L$6:$U$137,10,FALSE))</f>
        <v/>
      </c>
      <c r="B149" s="143" t="str">
        <f>IF(C149="","",VLOOKUP('Opći dio'!$C$3,'Opći dio'!$L$6:$U$137,9,FALSE))</f>
        <v/>
      </c>
      <c r="C149" s="149"/>
      <c r="D149" s="144" t="str">
        <f t="shared" si="22"/>
        <v/>
      </c>
      <c r="E149" s="149"/>
      <c r="F149" s="144" t="str">
        <f t="shared" si="23"/>
        <v/>
      </c>
      <c r="G149" s="183"/>
      <c r="H149" s="144" t="str">
        <f t="shared" si="24"/>
        <v/>
      </c>
      <c r="I149" s="182"/>
      <c r="J149" s="182"/>
      <c r="K149" s="182"/>
      <c r="M149" s="139" t="str">
        <f t="shared" si="25"/>
        <v/>
      </c>
      <c r="N149" s="139" t="str">
        <f t="shared" si="26"/>
        <v/>
      </c>
      <c r="X149" t="s">
        <v>775</v>
      </c>
      <c r="Y149" t="s">
        <v>776</v>
      </c>
    </row>
    <row r="150" spans="1:25">
      <c r="A150" s="143" t="str">
        <f>IF(C150="","",VLOOKUP('Opći dio'!$C$3,'Opći dio'!$L$6:$U$137,10,FALSE))</f>
        <v/>
      </c>
      <c r="B150" s="143" t="str">
        <f>IF(C150="","",VLOOKUP('Opći dio'!$C$3,'Opći dio'!$L$6:$U$137,9,FALSE))</f>
        <v/>
      </c>
      <c r="C150" s="149"/>
      <c r="D150" s="144" t="str">
        <f t="shared" si="22"/>
        <v/>
      </c>
      <c r="E150" s="149"/>
      <c r="F150" s="144" t="str">
        <f t="shared" si="23"/>
        <v/>
      </c>
      <c r="G150" s="183"/>
      <c r="H150" s="144" t="str">
        <f t="shared" si="24"/>
        <v/>
      </c>
      <c r="I150" s="182"/>
      <c r="J150" s="182"/>
      <c r="K150" s="182"/>
      <c r="M150" s="139" t="str">
        <f t="shared" si="25"/>
        <v/>
      </c>
      <c r="N150" s="139" t="str">
        <f t="shared" si="26"/>
        <v/>
      </c>
      <c r="X150" t="s">
        <v>1857</v>
      </c>
      <c r="Y150" t="s">
        <v>1858</v>
      </c>
    </row>
    <row r="151" spans="1:25">
      <c r="A151" s="143" t="str">
        <f>IF(C151="","",VLOOKUP('Opći dio'!$C$3,'Opći dio'!$L$6:$U$137,10,FALSE))</f>
        <v/>
      </c>
      <c r="B151" s="143" t="str">
        <f>IF(C151="","",VLOOKUP('Opći dio'!$C$3,'Opći dio'!$L$6:$U$137,9,FALSE))</f>
        <v/>
      </c>
      <c r="C151" s="149"/>
      <c r="D151" s="144" t="str">
        <f t="shared" si="22"/>
        <v/>
      </c>
      <c r="E151" s="149"/>
      <c r="F151" s="144" t="str">
        <f t="shared" si="23"/>
        <v/>
      </c>
      <c r="G151" s="183"/>
      <c r="H151" s="144" t="str">
        <f t="shared" si="24"/>
        <v/>
      </c>
      <c r="I151" s="182"/>
      <c r="J151" s="182"/>
      <c r="K151" s="182"/>
      <c r="M151" s="139" t="str">
        <f t="shared" si="25"/>
        <v/>
      </c>
      <c r="N151" s="139" t="str">
        <f t="shared" si="26"/>
        <v/>
      </c>
      <c r="X151" t="s">
        <v>146</v>
      </c>
      <c r="Y151" t="s">
        <v>147</v>
      </c>
    </row>
    <row r="152" spans="1:25">
      <c r="A152" s="143" t="str">
        <f>IF(C152="","",VLOOKUP('Opći dio'!$C$3,'Opći dio'!$L$6:$U$137,10,FALSE))</f>
        <v/>
      </c>
      <c r="B152" s="143" t="str">
        <f>IF(C152="","",VLOOKUP('Opći dio'!$C$3,'Opći dio'!$L$6:$U$137,9,FALSE))</f>
        <v/>
      </c>
      <c r="C152" s="149"/>
      <c r="D152" s="144" t="str">
        <f t="shared" si="22"/>
        <v/>
      </c>
      <c r="E152" s="149"/>
      <c r="F152" s="144" t="str">
        <f t="shared" si="23"/>
        <v/>
      </c>
      <c r="G152" s="183"/>
      <c r="H152" s="144" t="str">
        <f t="shared" si="24"/>
        <v/>
      </c>
      <c r="I152" s="182"/>
      <c r="J152" s="182"/>
      <c r="K152" s="182"/>
      <c r="M152" s="139" t="str">
        <f t="shared" si="25"/>
        <v/>
      </c>
      <c r="N152" s="139" t="str">
        <f t="shared" si="26"/>
        <v/>
      </c>
      <c r="X152" t="s">
        <v>149</v>
      </c>
      <c r="Y152" t="s">
        <v>1384</v>
      </c>
    </row>
    <row r="153" spans="1:25">
      <c r="A153" s="143" t="str">
        <f>IF(C153="","",VLOOKUP('Opći dio'!$C$3,'Opći dio'!$L$6:$U$137,10,FALSE))</f>
        <v/>
      </c>
      <c r="B153" s="143" t="str">
        <f>IF(C153="","",VLOOKUP('Opći dio'!$C$3,'Opći dio'!$L$6:$U$137,9,FALSE))</f>
        <v/>
      </c>
      <c r="C153" s="149"/>
      <c r="D153" s="144" t="str">
        <f t="shared" si="22"/>
        <v/>
      </c>
      <c r="E153" s="149"/>
      <c r="F153" s="144" t="str">
        <f t="shared" si="23"/>
        <v/>
      </c>
      <c r="G153" s="183"/>
      <c r="H153" s="144" t="str">
        <f t="shared" si="24"/>
        <v/>
      </c>
      <c r="I153" s="182"/>
      <c r="J153" s="182"/>
      <c r="K153" s="182"/>
      <c r="M153" s="139" t="str">
        <f t="shared" si="25"/>
        <v/>
      </c>
      <c r="N153" s="139" t="str">
        <f t="shared" si="26"/>
        <v/>
      </c>
      <c r="X153" t="s">
        <v>178</v>
      </c>
      <c r="Y153" t="s">
        <v>1385</v>
      </c>
    </row>
    <row r="154" spans="1:25">
      <c r="A154" s="143" t="str">
        <f>IF(C154="","",VLOOKUP('Opći dio'!$C$3,'Opći dio'!$L$6:$U$137,10,FALSE))</f>
        <v/>
      </c>
      <c r="B154" s="143" t="str">
        <f>IF(C154="","",VLOOKUP('Opći dio'!$C$3,'Opći dio'!$L$6:$U$137,9,FALSE))</f>
        <v/>
      </c>
      <c r="C154" s="149"/>
      <c r="D154" s="144" t="str">
        <f t="shared" si="22"/>
        <v/>
      </c>
      <c r="E154" s="149"/>
      <c r="F154" s="144" t="str">
        <f t="shared" si="23"/>
        <v/>
      </c>
      <c r="G154" s="183"/>
      <c r="H154" s="144" t="str">
        <f t="shared" si="24"/>
        <v/>
      </c>
      <c r="I154" s="182"/>
      <c r="J154" s="182"/>
      <c r="K154" s="182"/>
      <c r="M154" s="139" t="str">
        <f t="shared" si="25"/>
        <v/>
      </c>
      <c r="N154" s="139" t="str">
        <f t="shared" si="26"/>
        <v/>
      </c>
      <c r="X154" t="s">
        <v>181</v>
      </c>
      <c r="Y154" t="s">
        <v>1386</v>
      </c>
    </row>
    <row r="155" spans="1:25">
      <c r="A155" s="143" t="str">
        <f>IF(C155="","",VLOOKUP('Opći dio'!$C$3,'Opći dio'!$L$6:$U$137,10,FALSE))</f>
        <v/>
      </c>
      <c r="B155" s="143" t="str">
        <f>IF(C155="","",VLOOKUP('Opći dio'!$C$3,'Opći dio'!$L$6:$U$137,9,FALSE))</f>
        <v/>
      </c>
      <c r="C155" s="149"/>
      <c r="D155" s="144" t="str">
        <f t="shared" si="22"/>
        <v/>
      </c>
      <c r="E155" s="149"/>
      <c r="F155" s="144" t="str">
        <f t="shared" si="23"/>
        <v/>
      </c>
      <c r="G155" s="183"/>
      <c r="H155" s="144" t="str">
        <f t="shared" si="24"/>
        <v/>
      </c>
      <c r="I155" s="182"/>
      <c r="J155" s="182"/>
      <c r="K155" s="182"/>
      <c r="M155" s="139" t="str">
        <f t="shared" si="25"/>
        <v/>
      </c>
      <c r="N155" s="139" t="str">
        <f t="shared" si="26"/>
        <v/>
      </c>
      <c r="X155" t="s">
        <v>184</v>
      </c>
      <c r="Y155" t="s">
        <v>1387</v>
      </c>
    </row>
    <row r="156" spans="1:25">
      <c r="A156" s="143" t="str">
        <f>IF(C156="","",VLOOKUP('Opći dio'!$C$3,'Opći dio'!$L$6:$U$137,10,FALSE))</f>
        <v/>
      </c>
      <c r="B156" s="143" t="str">
        <f>IF(C156="","",VLOOKUP('Opći dio'!$C$3,'Opći dio'!$L$6:$U$137,9,FALSE))</f>
        <v/>
      </c>
      <c r="C156" s="149"/>
      <c r="D156" s="144" t="str">
        <f t="shared" si="22"/>
        <v/>
      </c>
      <c r="E156" s="149"/>
      <c r="F156" s="144" t="str">
        <f t="shared" si="23"/>
        <v/>
      </c>
      <c r="G156" s="183"/>
      <c r="H156" s="144" t="str">
        <f t="shared" si="24"/>
        <v/>
      </c>
      <c r="I156" s="182"/>
      <c r="J156" s="182"/>
      <c r="K156" s="182"/>
      <c r="M156" s="139" t="str">
        <f t="shared" si="25"/>
        <v/>
      </c>
      <c r="N156" s="139" t="str">
        <f t="shared" si="26"/>
        <v/>
      </c>
      <c r="X156" s="139" t="s">
        <v>188</v>
      </c>
      <c r="Y156" s="139" t="s">
        <v>1388</v>
      </c>
    </row>
    <row r="157" spans="1:25">
      <c r="A157" s="143" t="str">
        <f>IF(C157="","",VLOOKUP('Opći dio'!$C$3,'Opći dio'!$L$6:$U$137,10,FALSE))</f>
        <v/>
      </c>
      <c r="B157" s="143" t="str">
        <f>IF(C157="","",VLOOKUP('Opći dio'!$C$3,'Opći dio'!$L$6:$U$137,9,FALSE))</f>
        <v/>
      </c>
      <c r="C157" s="149"/>
      <c r="D157" s="144" t="str">
        <f t="shared" si="22"/>
        <v/>
      </c>
      <c r="E157" s="149"/>
      <c r="F157" s="144" t="str">
        <f t="shared" si="23"/>
        <v/>
      </c>
      <c r="G157" s="183"/>
      <c r="H157" s="144" t="str">
        <f t="shared" si="24"/>
        <v/>
      </c>
      <c r="I157" s="182"/>
      <c r="J157" s="182"/>
      <c r="K157" s="182"/>
      <c r="M157" s="139" t="str">
        <f t="shared" si="25"/>
        <v/>
      </c>
      <c r="N157" s="139" t="str">
        <f t="shared" si="26"/>
        <v/>
      </c>
      <c r="X157" s="139" t="s">
        <v>189</v>
      </c>
      <c r="Y157" s="139" t="s">
        <v>1389</v>
      </c>
    </row>
    <row r="158" spans="1:25">
      <c r="A158" s="143" t="str">
        <f>IF(C158="","",VLOOKUP('Opći dio'!$C$3,'Opći dio'!$L$6:$U$137,10,FALSE))</f>
        <v/>
      </c>
      <c r="B158" s="143" t="str">
        <f>IF(C158="","",VLOOKUP('Opći dio'!$C$3,'Opći dio'!$L$6:$U$137,9,FALSE))</f>
        <v/>
      </c>
      <c r="C158" s="149"/>
      <c r="D158" s="144" t="str">
        <f t="shared" si="22"/>
        <v/>
      </c>
      <c r="E158" s="149"/>
      <c r="F158" s="144" t="str">
        <f t="shared" si="23"/>
        <v/>
      </c>
      <c r="G158" s="183"/>
      <c r="H158" s="144" t="str">
        <f t="shared" si="24"/>
        <v/>
      </c>
      <c r="I158" s="182"/>
      <c r="J158" s="182"/>
      <c r="K158" s="182"/>
      <c r="M158" s="139" t="str">
        <f t="shared" si="25"/>
        <v/>
      </c>
      <c r="N158" s="139" t="str">
        <f t="shared" si="26"/>
        <v/>
      </c>
      <c r="X158" s="139" t="s">
        <v>191</v>
      </c>
      <c r="Y158" s="139" t="s">
        <v>1390</v>
      </c>
    </row>
    <row r="159" spans="1:25">
      <c r="A159" s="143" t="str">
        <f>IF(C159="","",VLOOKUP('Opći dio'!$C$3,'Opći dio'!$L$6:$U$137,10,FALSE))</f>
        <v/>
      </c>
      <c r="B159" s="143" t="str">
        <f>IF(C159="","",VLOOKUP('Opći dio'!$C$3,'Opći dio'!$L$6:$U$137,9,FALSE))</f>
        <v/>
      </c>
      <c r="C159" s="149"/>
      <c r="D159" s="144" t="str">
        <f t="shared" si="22"/>
        <v/>
      </c>
      <c r="E159" s="149"/>
      <c r="F159" s="144" t="str">
        <f t="shared" si="23"/>
        <v/>
      </c>
      <c r="G159" s="183"/>
      <c r="H159" s="144" t="str">
        <f t="shared" si="24"/>
        <v/>
      </c>
      <c r="I159" s="182"/>
      <c r="J159" s="182"/>
      <c r="K159" s="182"/>
      <c r="M159" s="139" t="str">
        <f t="shared" si="25"/>
        <v/>
      </c>
      <c r="N159" s="139" t="str">
        <f t="shared" si="26"/>
        <v/>
      </c>
      <c r="X159" s="139" t="s">
        <v>197</v>
      </c>
      <c r="Y159" s="139" t="s">
        <v>1391</v>
      </c>
    </row>
    <row r="160" spans="1:25">
      <c r="A160" s="143" t="str">
        <f>IF(C160="","",VLOOKUP('Opći dio'!$C$3,'Opći dio'!$L$6:$U$137,10,FALSE))</f>
        <v/>
      </c>
      <c r="B160" s="143" t="str">
        <f>IF(C160="","",VLOOKUP('Opći dio'!$C$3,'Opći dio'!$L$6:$U$137,9,FALSE))</f>
        <v/>
      </c>
      <c r="C160" s="149"/>
      <c r="D160" s="144" t="str">
        <f t="shared" si="22"/>
        <v/>
      </c>
      <c r="E160" s="149"/>
      <c r="F160" s="144" t="str">
        <f t="shared" si="23"/>
        <v/>
      </c>
      <c r="G160" s="183"/>
      <c r="H160" s="144" t="str">
        <f t="shared" si="24"/>
        <v/>
      </c>
      <c r="I160" s="182"/>
      <c r="J160" s="182"/>
      <c r="K160" s="182"/>
      <c r="M160" s="139" t="str">
        <f t="shared" si="25"/>
        <v/>
      </c>
      <c r="N160" s="139" t="str">
        <f t="shared" si="26"/>
        <v/>
      </c>
      <c r="X160" s="139" t="s">
        <v>198</v>
      </c>
      <c r="Y160" s="139" t="s">
        <v>1392</v>
      </c>
    </row>
    <row r="161" spans="1:25">
      <c r="A161" s="143" t="str">
        <f>IF(C161="","",VLOOKUP('Opći dio'!$C$3,'Opći dio'!$L$6:$U$137,10,FALSE))</f>
        <v/>
      </c>
      <c r="B161" s="143" t="str">
        <f>IF(C161="","",VLOOKUP('Opći dio'!$C$3,'Opći dio'!$L$6:$U$137,9,FALSE))</f>
        <v/>
      </c>
      <c r="C161" s="149"/>
      <c r="D161" s="144" t="str">
        <f t="shared" si="22"/>
        <v/>
      </c>
      <c r="E161" s="149"/>
      <c r="F161" s="144" t="str">
        <f t="shared" si="23"/>
        <v/>
      </c>
      <c r="G161" s="183"/>
      <c r="H161" s="144" t="str">
        <f t="shared" si="24"/>
        <v/>
      </c>
      <c r="I161" s="182"/>
      <c r="J161" s="182"/>
      <c r="K161" s="182"/>
      <c r="M161" s="139" t="str">
        <f t="shared" si="25"/>
        <v/>
      </c>
      <c r="N161" s="139" t="str">
        <f t="shared" si="26"/>
        <v/>
      </c>
      <c r="X161" s="139" t="s">
        <v>2127</v>
      </c>
      <c r="Y161" s="139" t="s">
        <v>2128</v>
      </c>
    </row>
    <row r="162" spans="1:25">
      <c r="A162" s="143" t="str">
        <f>IF(C162="","",VLOOKUP('Opći dio'!$C$3,'Opći dio'!$L$6:$U$137,10,FALSE))</f>
        <v/>
      </c>
      <c r="B162" s="143" t="str">
        <f>IF(C162="","",VLOOKUP('Opći dio'!$C$3,'Opći dio'!$L$6:$U$137,9,FALSE))</f>
        <v/>
      </c>
      <c r="C162" s="149"/>
      <c r="D162" s="144" t="str">
        <f t="shared" si="22"/>
        <v/>
      </c>
      <c r="E162" s="149"/>
      <c r="F162" s="144" t="str">
        <f t="shared" si="23"/>
        <v/>
      </c>
      <c r="G162" s="183"/>
      <c r="H162" s="144" t="str">
        <f t="shared" si="24"/>
        <v/>
      </c>
      <c r="I162" s="182"/>
      <c r="J162" s="182"/>
      <c r="K162" s="182"/>
      <c r="M162" s="139" t="str">
        <f t="shared" si="25"/>
        <v/>
      </c>
      <c r="N162" s="139" t="str">
        <f t="shared" si="26"/>
        <v/>
      </c>
      <c r="X162" s="139" t="s">
        <v>773</v>
      </c>
      <c r="Y162" s="139" t="s">
        <v>774</v>
      </c>
    </row>
    <row r="163" spans="1:25">
      <c r="A163" s="143" t="str">
        <f>IF(C163="","",VLOOKUP('Opći dio'!$C$3,'Opći dio'!$L$6:$U$137,10,FALSE))</f>
        <v/>
      </c>
      <c r="B163" s="143" t="str">
        <f>IF(C163="","",VLOOKUP('Opći dio'!$C$3,'Opći dio'!$L$6:$U$137,9,FALSE))</f>
        <v/>
      </c>
      <c r="C163" s="149"/>
      <c r="D163" s="144" t="str">
        <f t="shared" si="22"/>
        <v/>
      </c>
      <c r="E163" s="149"/>
      <c r="F163" s="144" t="str">
        <f t="shared" si="23"/>
        <v/>
      </c>
      <c r="G163" s="183"/>
      <c r="H163" s="144" t="str">
        <f t="shared" si="24"/>
        <v/>
      </c>
      <c r="I163" s="182"/>
      <c r="J163" s="182"/>
      <c r="K163" s="182"/>
      <c r="M163" s="139" t="str">
        <f t="shared" si="25"/>
        <v/>
      </c>
      <c r="N163" s="139" t="str">
        <f t="shared" si="26"/>
        <v/>
      </c>
      <c r="X163" s="139" t="s">
        <v>1859</v>
      </c>
      <c r="Y163" s="139" t="s">
        <v>2129</v>
      </c>
    </row>
    <row r="164" spans="1:25">
      <c r="A164" s="143" t="str">
        <f>IF(C164="","",VLOOKUP('Opći dio'!$C$3,'Opći dio'!$L$6:$U$137,10,FALSE))</f>
        <v/>
      </c>
      <c r="B164" s="143" t="str">
        <f>IF(C164="","",VLOOKUP('Opći dio'!$C$3,'Opći dio'!$L$6:$U$137,9,FALSE))</f>
        <v/>
      </c>
      <c r="C164" s="149"/>
      <c r="D164" s="144" t="str">
        <f t="shared" si="22"/>
        <v/>
      </c>
      <c r="E164" s="149"/>
      <c r="F164" s="144" t="str">
        <f t="shared" si="23"/>
        <v/>
      </c>
      <c r="G164" s="183"/>
      <c r="H164" s="144" t="str">
        <f t="shared" si="24"/>
        <v/>
      </c>
      <c r="I164" s="182"/>
      <c r="J164" s="182"/>
      <c r="K164" s="182"/>
      <c r="M164" s="139" t="str">
        <f t="shared" si="25"/>
        <v/>
      </c>
      <c r="N164" s="139" t="str">
        <f t="shared" si="26"/>
        <v/>
      </c>
      <c r="X164" s="139" t="s">
        <v>2131</v>
      </c>
      <c r="Y164" s="139" t="s">
        <v>2132</v>
      </c>
    </row>
    <row r="165" spans="1:25">
      <c r="A165" s="143" t="str">
        <f>IF(C165="","",VLOOKUP('Opći dio'!$C$3,'Opći dio'!$L$6:$U$137,10,FALSE))</f>
        <v/>
      </c>
      <c r="B165" s="143" t="str">
        <f>IF(C165="","",VLOOKUP('Opći dio'!$C$3,'Opći dio'!$L$6:$U$137,9,FALSE))</f>
        <v/>
      </c>
      <c r="C165" s="149"/>
      <c r="D165" s="144" t="str">
        <f t="shared" si="22"/>
        <v/>
      </c>
      <c r="E165" s="149"/>
      <c r="F165" s="144" t="str">
        <f t="shared" si="23"/>
        <v/>
      </c>
      <c r="G165" s="183"/>
      <c r="H165" s="144" t="str">
        <f t="shared" si="24"/>
        <v/>
      </c>
      <c r="I165" s="182"/>
      <c r="J165" s="182"/>
      <c r="K165" s="182"/>
      <c r="M165" s="139" t="str">
        <f t="shared" si="25"/>
        <v/>
      </c>
      <c r="N165" s="139" t="str">
        <f t="shared" si="26"/>
        <v/>
      </c>
      <c r="X165" s="139" t="s">
        <v>2133</v>
      </c>
      <c r="Y165" s="139" t="s">
        <v>2134</v>
      </c>
    </row>
    <row r="166" spans="1:25">
      <c r="A166" s="143" t="str">
        <f>IF(C166="","",VLOOKUP('Opći dio'!$C$3,'Opći dio'!$L$6:$U$137,10,FALSE))</f>
        <v/>
      </c>
      <c r="B166" s="143" t="str">
        <f>IF(C166="","",VLOOKUP('Opći dio'!$C$3,'Opći dio'!$L$6:$U$137,9,FALSE))</f>
        <v/>
      </c>
      <c r="C166" s="149"/>
      <c r="D166" s="144" t="str">
        <f t="shared" si="22"/>
        <v/>
      </c>
      <c r="E166" s="149"/>
      <c r="F166" s="144" t="str">
        <f t="shared" si="23"/>
        <v/>
      </c>
      <c r="G166" s="183"/>
      <c r="H166" s="144" t="str">
        <f t="shared" si="24"/>
        <v/>
      </c>
      <c r="I166" s="182"/>
      <c r="J166" s="182"/>
      <c r="K166" s="182"/>
      <c r="M166" s="139" t="str">
        <f t="shared" si="25"/>
        <v/>
      </c>
      <c r="N166" s="139" t="str">
        <f t="shared" si="26"/>
        <v/>
      </c>
      <c r="X166" s="139" t="s">
        <v>779</v>
      </c>
      <c r="Y166" s="139" t="s">
        <v>780</v>
      </c>
    </row>
    <row r="167" spans="1:25">
      <c r="A167" s="143" t="str">
        <f>IF(C167="","",VLOOKUP('Opći dio'!$C$3,'Opći dio'!$L$6:$U$137,10,FALSE))</f>
        <v/>
      </c>
      <c r="B167" s="143" t="str">
        <f>IF(C167="","",VLOOKUP('Opći dio'!$C$3,'Opći dio'!$L$6:$U$137,9,FALSE))</f>
        <v/>
      </c>
      <c r="C167" s="149"/>
      <c r="D167" s="144" t="str">
        <f t="shared" si="22"/>
        <v/>
      </c>
      <c r="E167" s="149"/>
      <c r="F167" s="144" t="str">
        <f t="shared" si="23"/>
        <v/>
      </c>
      <c r="G167" s="183"/>
      <c r="H167" s="144" t="str">
        <f t="shared" si="24"/>
        <v/>
      </c>
      <c r="I167" s="182"/>
      <c r="J167" s="182"/>
      <c r="K167" s="182"/>
      <c r="M167" s="139" t="str">
        <f t="shared" si="25"/>
        <v/>
      </c>
      <c r="N167" s="139" t="str">
        <f t="shared" si="26"/>
        <v/>
      </c>
      <c r="X167" s="139" t="s">
        <v>2224</v>
      </c>
      <c r="Y167" s="139" t="s">
        <v>2213</v>
      </c>
    </row>
    <row r="168" spans="1:25">
      <c r="A168" s="143" t="str">
        <f>IF(C168="","",VLOOKUP('Opći dio'!$C$3,'Opći dio'!$L$6:$U$137,10,FALSE))</f>
        <v/>
      </c>
      <c r="B168" s="143" t="str">
        <f>IF(C168="","",VLOOKUP('Opći dio'!$C$3,'Opći dio'!$L$6:$U$137,9,FALSE))</f>
        <v/>
      </c>
      <c r="C168" s="149"/>
      <c r="D168" s="144" t="str">
        <f t="shared" si="22"/>
        <v/>
      </c>
      <c r="E168" s="149"/>
      <c r="F168" s="144" t="str">
        <f t="shared" si="23"/>
        <v/>
      </c>
      <c r="G168" s="183"/>
      <c r="H168" s="144" t="str">
        <f t="shared" si="24"/>
        <v/>
      </c>
      <c r="I168" s="182"/>
      <c r="J168" s="182"/>
      <c r="K168" s="182"/>
      <c r="M168" s="139" t="str">
        <f t="shared" si="25"/>
        <v/>
      </c>
      <c r="N168" s="139" t="str">
        <f t="shared" si="26"/>
        <v/>
      </c>
      <c r="X168" s="139" t="s">
        <v>2225</v>
      </c>
      <c r="Y168" s="139" t="s">
        <v>2215</v>
      </c>
    </row>
    <row r="169" spans="1:25">
      <c r="A169" s="143" t="str">
        <f>IF(C169="","",VLOOKUP('Opći dio'!$C$3,'Opći dio'!$L$6:$U$137,10,FALSE))</f>
        <v/>
      </c>
      <c r="B169" s="143" t="str">
        <f>IF(C169="","",VLOOKUP('Opći dio'!$C$3,'Opći dio'!$L$6:$U$137,9,FALSE))</f>
        <v/>
      </c>
      <c r="C169" s="149"/>
      <c r="D169" s="144" t="str">
        <f t="shared" si="22"/>
        <v/>
      </c>
      <c r="E169" s="149"/>
      <c r="F169" s="144" t="str">
        <f t="shared" si="23"/>
        <v/>
      </c>
      <c r="G169" s="183"/>
      <c r="H169" s="144" t="str">
        <f t="shared" si="24"/>
        <v/>
      </c>
      <c r="I169" s="182"/>
      <c r="J169" s="182"/>
      <c r="K169" s="182"/>
      <c r="M169" s="139" t="str">
        <f t="shared" si="25"/>
        <v/>
      </c>
      <c r="N169" s="139" t="str">
        <f t="shared" si="26"/>
        <v/>
      </c>
      <c r="X169" s="139" t="s">
        <v>2226</v>
      </c>
      <c r="Y169" s="139" t="s">
        <v>2227</v>
      </c>
    </row>
    <row r="170" spans="1:25">
      <c r="A170" s="143" t="str">
        <f>IF(C170="","",VLOOKUP('Opći dio'!$C$3,'Opći dio'!$L$6:$U$137,10,FALSE))</f>
        <v/>
      </c>
      <c r="B170" s="143" t="str">
        <f>IF(C170="","",VLOOKUP('Opći dio'!$C$3,'Opći dio'!$L$6:$U$137,9,FALSE))</f>
        <v/>
      </c>
      <c r="C170" s="149"/>
      <c r="D170" s="144" t="str">
        <f t="shared" si="22"/>
        <v/>
      </c>
      <c r="E170" s="149"/>
      <c r="F170" s="144" t="str">
        <f t="shared" si="23"/>
        <v/>
      </c>
      <c r="G170" s="183"/>
      <c r="H170" s="144" t="str">
        <f t="shared" si="24"/>
        <v/>
      </c>
      <c r="I170" s="182"/>
      <c r="J170" s="182"/>
      <c r="K170" s="182"/>
      <c r="M170" s="139" t="str">
        <f t="shared" si="25"/>
        <v/>
      </c>
      <c r="N170" s="139" t="str">
        <f t="shared" si="26"/>
        <v/>
      </c>
      <c r="X170" s="139" t="s">
        <v>2228</v>
      </c>
      <c r="Y170" s="139" t="s">
        <v>2229</v>
      </c>
    </row>
    <row r="171" spans="1:25">
      <c r="A171" s="143" t="str">
        <f>IF(C171="","",VLOOKUP('Opći dio'!$C$3,'Opći dio'!$L$6:$U$137,10,FALSE))</f>
        <v/>
      </c>
      <c r="B171" s="143" t="str">
        <f>IF(C171="","",VLOOKUP('Opći dio'!$C$3,'Opći dio'!$L$6:$U$137,9,FALSE))</f>
        <v/>
      </c>
      <c r="C171" s="149"/>
      <c r="D171" s="144" t="str">
        <f t="shared" si="22"/>
        <v/>
      </c>
      <c r="E171" s="149"/>
      <c r="F171" s="144" t="str">
        <f t="shared" si="23"/>
        <v/>
      </c>
      <c r="G171" s="183"/>
      <c r="H171" s="144" t="str">
        <f t="shared" si="24"/>
        <v/>
      </c>
      <c r="I171" s="182"/>
      <c r="J171" s="182"/>
      <c r="K171" s="182"/>
      <c r="M171" s="139" t="str">
        <f t="shared" si="25"/>
        <v/>
      </c>
      <c r="N171" s="139" t="str">
        <f t="shared" si="26"/>
        <v/>
      </c>
      <c r="X171" s="139" t="s">
        <v>790</v>
      </c>
      <c r="Y171" s="139" t="s">
        <v>791</v>
      </c>
    </row>
    <row r="172" spans="1:25">
      <c r="A172" s="143" t="str">
        <f>IF(C172="","",VLOOKUP('Opći dio'!$C$3,'Opći dio'!$L$6:$U$137,10,FALSE))</f>
        <v/>
      </c>
      <c r="B172" s="143" t="str">
        <f>IF(C172="","",VLOOKUP('Opći dio'!$C$3,'Opći dio'!$L$6:$U$137,9,FALSE))</f>
        <v/>
      </c>
      <c r="C172" s="149"/>
      <c r="D172" s="144" t="str">
        <f t="shared" si="22"/>
        <v/>
      </c>
      <c r="E172" s="149"/>
      <c r="F172" s="144" t="str">
        <f t="shared" si="23"/>
        <v/>
      </c>
      <c r="G172" s="183"/>
      <c r="H172" s="144" t="str">
        <f t="shared" si="24"/>
        <v/>
      </c>
      <c r="I172" s="182"/>
      <c r="J172" s="182"/>
      <c r="K172" s="182"/>
      <c r="M172" s="139" t="str">
        <f t="shared" si="25"/>
        <v/>
      </c>
      <c r="N172" s="139" t="str">
        <f t="shared" si="26"/>
        <v/>
      </c>
      <c r="X172" s="139" t="s">
        <v>792</v>
      </c>
      <c r="Y172" s="139" t="s">
        <v>793</v>
      </c>
    </row>
    <row r="173" spans="1:25">
      <c r="A173" s="143" t="str">
        <f>IF(C173="","",VLOOKUP('Opći dio'!$C$3,'Opći dio'!$L$6:$U$137,10,FALSE))</f>
        <v/>
      </c>
      <c r="B173" s="143" t="str">
        <f>IF(C173="","",VLOOKUP('Opći dio'!$C$3,'Opći dio'!$L$6:$U$137,9,FALSE))</f>
        <v/>
      </c>
      <c r="C173" s="149"/>
      <c r="D173" s="144" t="str">
        <f t="shared" si="22"/>
        <v/>
      </c>
      <c r="E173" s="149"/>
      <c r="F173" s="144" t="str">
        <f t="shared" si="23"/>
        <v/>
      </c>
      <c r="G173" s="183"/>
      <c r="H173" s="144" t="str">
        <f t="shared" si="24"/>
        <v/>
      </c>
      <c r="I173" s="182"/>
      <c r="J173" s="182"/>
      <c r="K173" s="182"/>
      <c r="M173" s="139" t="str">
        <f t="shared" si="25"/>
        <v/>
      </c>
      <c r="N173" s="139" t="str">
        <f t="shared" si="26"/>
        <v/>
      </c>
      <c r="X173" s="139" t="s">
        <v>1062</v>
      </c>
      <c r="Y173" s="139" t="s">
        <v>1063</v>
      </c>
    </row>
    <row r="174" spans="1:25">
      <c r="A174" s="143" t="str">
        <f>IF(C174="","",VLOOKUP('Opći dio'!$C$3,'Opći dio'!$L$6:$U$137,10,FALSE))</f>
        <v/>
      </c>
      <c r="B174" s="143" t="str">
        <f>IF(C174="","",VLOOKUP('Opći dio'!$C$3,'Opći dio'!$L$6:$U$137,9,FALSE))</f>
        <v/>
      </c>
      <c r="C174" s="149"/>
      <c r="D174" s="144" t="str">
        <f t="shared" si="22"/>
        <v/>
      </c>
      <c r="E174" s="149"/>
      <c r="F174" s="144" t="str">
        <f t="shared" si="23"/>
        <v/>
      </c>
      <c r="G174" s="183"/>
      <c r="H174" s="144" t="str">
        <f t="shared" si="24"/>
        <v/>
      </c>
      <c r="I174" s="182"/>
      <c r="J174" s="182"/>
      <c r="K174" s="182"/>
      <c r="M174" s="139" t="str">
        <f t="shared" si="25"/>
        <v/>
      </c>
      <c r="N174" s="139" t="str">
        <f t="shared" si="26"/>
        <v/>
      </c>
      <c r="X174" s="139" t="s">
        <v>794</v>
      </c>
      <c r="Y174" s="139" t="s">
        <v>795</v>
      </c>
    </row>
    <row r="175" spans="1:25">
      <c r="A175" s="143" t="str">
        <f>IF(C175="","",VLOOKUP('Opći dio'!$C$3,'Opći dio'!$L$6:$U$137,10,FALSE))</f>
        <v/>
      </c>
      <c r="B175" s="143" t="str">
        <f>IF(C175="","",VLOOKUP('Opći dio'!$C$3,'Opći dio'!$L$6:$U$137,9,FALSE))</f>
        <v/>
      </c>
      <c r="C175" s="149"/>
      <c r="D175" s="144" t="str">
        <f t="shared" si="22"/>
        <v/>
      </c>
      <c r="E175" s="149"/>
      <c r="F175" s="144" t="str">
        <f t="shared" si="23"/>
        <v/>
      </c>
      <c r="G175" s="183"/>
      <c r="H175" s="144" t="str">
        <f t="shared" si="24"/>
        <v/>
      </c>
      <c r="I175" s="182"/>
      <c r="J175" s="182"/>
      <c r="K175" s="182"/>
      <c r="M175" s="139" t="str">
        <f t="shared" si="25"/>
        <v/>
      </c>
      <c r="N175" s="139" t="str">
        <f t="shared" si="26"/>
        <v/>
      </c>
      <c r="X175" s="139" t="s">
        <v>1064</v>
      </c>
      <c r="Y175" s="139" t="s">
        <v>1058</v>
      </c>
    </row>
    <row r="176" spans="1:25">
      <c r="A176" s="143" t="str">
        <f>IF(C176="","",VLOOKUP('Opći dio'!$C$3,'Opći dio'!$L$6:$U$137,10,FALSE))</f>
        <v/>
      </c>
      <c r="B176" s="143" t="str">
        <f>IF(C176="","",VLOOKUP('Opći dio'!$C$3,'Opći dio'!$L$6:$U$137,9,FALSE))</f>
        <v/>
      </c>
      <c r="C176" s="149"/>
      <c r="D176" s="144" t="str">
        <f t="shared" si="22"/>
        <v/>
      </c>
      <c r="E176" s="149"/>
      <c r="F176" s="144" t="str">
        <f t="shared" si="23"/>
        <v/>
      </c>
      <c r="G176" s="183"/>
      <c r="H176" s="144" t="str">
        <f t="shared" si="24"/>
        <v/>
      </c>
      <c r="I176" s="182"/>
      <c r="J176" s="182"/>
      <c r="K176" s="182"/>
      <c r="M176" s="139" t="str">
        <f t="shared" si="25"/>
        <v/>
      </c>
      <c r="N176" s="139" t="str">
        <f t="shared" si="26"/>
        <v/>
      </c>
      <c r="X176" s="139" t="s">
        <v>797</v>
      </c>
      <c r="Y176" s="139" t="s">
        <v>1393</v>
      </c>
    </row>
    <row r="177" spans="1:25">
      <c r="A177" s="143" t="str">
        <f>IF(C177="","",VLOOKUP('Opći dio'!$C$3,'Opći dio'!$L$6:$U$137,10,FALSE))</f>
        <v/>
      </c>
      <c r="B177" s="143" t="str">
        <f>IF(C177="","",VLOOKUP('Opći dio'!$C$3,'Opći dio'!$L$6:$U$137,9,FALSE))</f>
        <v/>
      </c>
      <c r="C177" s="149"/>
      <c r="D177" s="144" t="str">
        <f t="shared" si="22"/>
        <v/>
      </c>
      <c r="E177" s="149"/>
      <c r="F177" s="144" t="str">
        <f t="shared" si="23"/>
        <v/>
      </c>
      <c r="G177" s="183"/>
      <c r="H177" s="144" t="str">
        <f t="shared" si="24"/>
        <v/>
      </c>
      <c r="I177" s="182"/>
      <c r="J177" s="182"/>
      <c r="K177" s="182"/>
      <c r="M177" s="139" t="str">
        <f t="shared" si="25"/>
        <v/>
      </c>
      <c r="N177" s="139" t="str">
        <f t="shared" si="26"/>
        <v/>
      </c>
      <c r="X177" s="139" t="s">
        <v>798</v>
      </c>
      <c r="Y177" s="139" t="s">
        <v>799</v>
      </c>
    </row>
    <row r="178" spans="1:25">
      <c r="A178" s="143" t="str">
        <f>IF(C178="","",VLOOKUP('Opći dio'!$C$3,'Opći dio'!$L$6:$U$137,10,FALSE))</f>
        <v/>
      </c>
      <c r="B178" s="143" t="str">
        <f>IF(C178="","",VLOOKUP('Opći dio'!$C$3,'Opći dio'!$L$6:$U$137,9,FALSE))</f>
        <v/>
      </c>
      <c r="C178" s="149"/>
      <c r="D178" s="144" t="str">
        <f t="shared" si="22"/>
        <v/>
      </c>
      <c r="E178" s="149"/>
      <c r="F178" s="144" t="str">
        <f t="shared" si="23"/>
        <v/>
      </c>
      <c r="G178" s="183"/>
      <c r="H178" s="144" t="str">
        <f t="shared" si="24"/>
        <v/>
      </c>
      <c r="I178" s="182"/>
      <c r="J178" s="182"/>
      <c r="K178" s="182"/>
      <c r="M178" s="139" t="str">
        <f t="shared" si="25"/>
        <v/>
      </c>
      <c r="N178" s="139" t="str">
        <f t="shared" si="26"/>
        <v/>
      </c>
      <c r="X178" s="139" t="s">
        <v>2099</v>
      </c>
      <c r="Y178" s="139" t="s">
        <v>2100</v>
      </c>
    </row>
    <row r="179" spans="1:25">
      <c r="A179" s="143" t="str">
        <f>IF(C179="","",VLOOKUP('Opći dio'!$C$3,'Opći dio'!$L$6:$U$137,10,FALSE))</f>
        <v/>
      </c>
      <c r="B179" s="143" t="str">
        <f>IF(C179="","",VLOOKUP('Opći dio'!$C$3,'Opći dio'!$L$6:$U$137,9,FALSE))</f>
        <v/>
      </c>
      <c r="C179" s="149"/>
      <c r="D179" s="144" t="str">
        <f t="shared" si="22"/>
        <v/>
      </c>
      <c r="E179" s="149"/>
      <c r="F179" s="144" t="str">
        <f t="shared" si="23"/>
        <v/>
      </c>
      <c r="G179" s="183"/>
      <c r="H179" s="144" t="str">
        <f t="shared" si="24"/>
        <v/>
      </c>
      <c r="I179" s="182"/>
      <c r="J179" s="182"/>
      <c r="K179" s="182"/>
      <c r="M179" s="139" t="str">
        <f t="shared" si="25"/>
        <v/>
      </c>
      <c r="N179" s="139" t="str">
        <f t="shared" si="26"/>
        <v/>
      </c>
      <c r="X179" s="139" t="s">
        <v>2212</v>
      </c>
      <c r="Y179" s="139" t="s">
        <v>2213</v>
      </c>
    </row>
    <row r="180" spans="1:25">
      <c r="A180" s="143" t="str">
        <f>IF(C180="","",VLOOKUP('Opći dio'!$C$3,'Opći dio'!$L$6:$U$137,10,FALSE))</f>
        <v/>
      </c>
      <c r="B180" s="143" t="str">
        <f>IF(C180="","",VLOOKUP('Opći dio'!$C$3,'Opći dio'!$L$6:$U$137,9,FALSE))</f>
        <v/>
      </c>
      <c r="C180" s="149"/>
      <c r="D180" s="144" t="str">
        <f t="shared" si="22"/>
        <v/>
      </c>
      <c r="E180" s="149"/>
      <c r="F180" s="144" t="str">
        <f t="shared" si="23"/>
        <v/>
      </c>
      <c r="G180" s="183"/>
      <c r="H180" s="144" t="str">
        <f t="shared" si="24"/>
        <v/>
      </c>
      <c r="I180" s="182"/>
      <c r="J180" s="182"/>
      <c r="K180" s="182"/>
      <c r="M180" s="139" t="str">
        <f t="shared" si="25"/>
        <v/>
      </c>
      <c r="N180" s="139" t="str">
        <f t="shared" si="26"/>
        <v/>
      </c>
      <c r="X180" s="139" t="s">
        <v>2214</v>
      </c>
      <c r="Y180" s="139" t="s">
        <v>2215</v>
      </c>
    </row>
    <row r="181" spans="1:25">
      <c r="A181" s="143" t="str">
        <f>IF(C181="","",VLOOKUP('Opći dio'!$C$3,'Opći dio'!$L$6:$U$137,10,FALSE))</f>
        <v/>
      </c>
      <c r="B181" s="143" t="str">
        <f>IF(C181="","",VLOOKUP('Opći dio'!$C$3,'Opći dio'!$L$6:$U$137,9,FALSE))</f>
        <v/>
      </c>
      <c r="C181" s="149"/>
      <c r="D181" s="144" t="str">
        <f t="shared" si="22"/>
        <v/>
      </c>
      <c r="E181" s="149"/>
      <c r="F181" s="144" t="str">
        <f t="shared" si="23"/>
        <v/>
      </c>
      <c r="G181" s="183"/>
      <c r="H181" s="144" t="str">
        <f t="shared" si="24"/>
        <v/>
      </c>
      <c r="I181" s="182"/>
      <c r="J181" s="182"/>
      <c r="K181" s="182"/>
      <c r="M181" s="139" t="str">
        <f t="shared" si="25"/>
        <v/>
      </c>
      <c r="N181" s="139" t="str">
        <f t="shared" si="26"/>
        <v/>
      </c>
      <c r="X181" s="139" t="s">
        <v>2216</v>
      </c>
      <c r="Y181" s="139" t="s">
        <v>2217</v>
      </c>
    </row>
    <row r="182" spans="1:25">
      <c r="A182" s="143" t="str">
        <f>IF(C182="","",VLOOKUP('Opći dio'!$C$3,'Opći dio'!$L$6:$U$137,10,FALSE))</f>
        <v/>
      </c>
      <c r="B182" s="143" t="str">
        <f>IF(C182="","",VLOOKUP('Opći dio'!$C$3,'Opći dio'!$L$6:$U$137,9,FALSE))</f>
        <v/>
      </c>
      <c r="C182" s="149"/>
      <c r="D182" s="144" t="str">
        <f t="shared" si="22"/>
        <v/>
      </c>
      <c r="E182" s="149"/>
      <c r="F182" s="144" t="str">
        <f t="shared" si="23"/>
        <v/>
      </c>
      <c r="G182" s="183"/>
      <c r="H182" s="144" t="str">
        <f t="shared" si="24"/>
        <v/>
      </c>
      <c r="I182" s="182"/>
      <c r="J182" s="182"/>
      <c r="K182" s="182"/>
      <c r="M182" s="139" t="str">
        <f t="shared" si="25"/>
        <v/>
      </c>
      <c r="N182" s="139" t="str">
        <f t="shared" si="26"/>
        <v/>
      </c>
      <c r="X182" s="139" t="s">
        <v>1095</v>
      </c>
      <c r="Y182" s="139" t="s">
        <v>1096</v>
      </c>
    </row>
    <row r="183" spans="1:25">
      <c r="A183" s="143" t="str">
        <f>IF(C183="","",VLOOKUP('Opći dio'!$C$3,'Opći dio'!$L$6:$U$137,10,FALSE))</f>
        <v/>
      </c>
      <c r="B183" s="143" t="str">
        <f>IF(C183="","",VLOOKUP('Opći dio'!$C$3,'Opći dio'!$L$6:$U$137,9,FALSE))</f>
        <v/>
      </c>
      <c r="C183" s="149"/>
      <c r="D183" s="144" t="str">
        <f t="shared" si="22"/>
        <v/>
      </c>
      <c r="E183" s="149"/>
      <c r="F183" s="144" t="str">
        <f t="shared" si="23"/>
        <v/>
      </c>
      <c r="G183" s="183"/>
      <c r="H183" s="144" t="str">
        <f t="shared" si="24"/>
        <v/>
      </c>
      <c r="I183" s="182"/>
      <c r="J183" s="182"/>
      <c r="K183" s="182"/>
      <c r="M183" s="139" t="str">
        <f t="shared" si="25"/>
        <v/>
      </c>
      <c r="N183" s="139" t="str">
        <f t="shared" si="26"/>
        <v/>
      </c>
      <c r="X183" s="139" t="s">
        <v>1097</v>
      </c>
      <c r="Y183" s="139" t="s">
        <v>1098</v>
      </c>
    </row>
    <row r="184" spans="1:25">
      <c r="A184" s="143" t="str">
        <f>IF(C184="","",VLOOKUP('Opći dio'!$C$3,'Opći dio'!$L$6:$U$137,10,FALSE))</f>
        <v/>
      </c>
      <c r="B184" s="143" t="str">
        <f>IF(C184="","",VLOOKUP('Opći dio'!$C$3,'Opći dio'!$L$6:$U$137,9,FALSE))</f>
        <v/>
      </c>
      <c r="C184" s="149"/>
      <c r="D184" s="144" t="str">
        <f t="shared" si="22"/>
        <v/>
      </c>
      <c r="E184" s="149"/>
      <c r="F184" s="144" t="str">
        <f t="shared" si="23"/>
        <v/>
      </c>
      <c r="G184" s="183"/>
      <c r="H184" s="144" t="str">
        <f t="shared" si="24"/>
        <v/>
      </c>
      <c r="I184" s="182"/>
      <c r="J184" s="182"/>
      <c r="K184" s="182"/>
      <c r="M184" s="139" t="str">
        <f t="shared" si="25"/>
        <v/>
      </c>
      <c r="N184" s="139" t="str">
        <f t="shared" si="26"/>
        <v/>
      </c>
      <c r="X184" s="139" t="s">
        <v>1101</v>
      </c>
      <c r="Y184" s="139" t="s">
        <v>1102</v>
      </c>
    </row>
    <row r="185" spans="1:25">
      <c r="A185" s="143" t="str">
        <f>IF(C185="","",VLOOKUP('Opći dio'!$C$3,'Opći dio'!$L$6:$U$137,10,FALSE))</f>
        <v/>
      </c>
      <c r="B185" s="143" t="str">
        <f>IF(C185="","",VLOOKUP('Opći dio'!$C$3,'Opći dio'!$L$6:$U$137,9,FALSE))</f>
        <v/>
      </c>
      <c r="C185" s="149"/>
      <c r="D185" s="144" t="str">
        <f t="shared" si="22"/>
        <v/>
      </c>
      <c r="E185" s="149"/>
      <c r="F185" s="144" t="str">
        <f t="shared" si="23"/>
        <v/>
      </c>
      <c r="G185" s="183"/>
      <c r="H185" s="144" t="str">
        <f t="shared" si="24"/>
        <v/>
      </c>
      <c r="I185" s="182"/>
      <c r="J185" s="182"/>
      <c r="K185" s="182"/>
      <c r="M185" s="139" t="str">
        <f t="shared" si="25"/>
        <v/>
      </c>
      <c r="N185" s="139" t="str">
        <f t="shared" si="26"/>
        <v/>
      </c>
      <c r="X185" s="139" t="s">
        <v>1103</v>
      </c>
      <c r="Y185" s="139" t="s">
        <v>1104</v>
      </c>
    </row>
    <row r="186" spans="1:25">
      <c r="A186" s="143" t="str">
        <f>IF(C186="","",VLOOKUP('Opći dio'!$C$3,'Opći dio'!$L$6:$U$137,10,FALSE))</f>
        <v/>
      </c>
      <c r="B186" s="143" t="str">
        <f>IF(C186="","",VLOOKUP('Opći dio'!$C$3,'Opći dio'!$L$6:$U$137,9,FALSE))</f>
        <v/>
      </c>
      <c r="C186" s="149"/>
      <c r="D186" s="144" t="str">
        <f t="shared" si="22"/>
        <v/>
      </c>
      <c r="E186" s="149"/>
      <c r="F186" s="144" t="str">
        <f t="shared" si="23"/>
        <v/>
      </c>
      <c r="G186" s="183"/>
      <c r="H186" s="144" t="str">
        <f t="shared" si="24"/>
        <v/>
      </c>
      <c r="I186" s="182"/>
      <c r="J186" s="182"/>
      <c r="K186" s="182"/>
      <c r="M186" s="139" t="str">
        <f t="shared" si="25"/>
        <v/>
      </c>
      <c r="N186" s="139" t="str">
        <f t="shared" si="26"/>
        <v/>
      </c>
      <c r="X186" s="139" t="s">
        <v>1105</v>
      </c>
      <c r="Y186" s="139" t="s">
        <v>1394</v>
      </c>
    </row>
    <row r="187" spans="1:25">
      <c r="A187" s="143" t="str">
        <f>IF(C187="","",VLOOKUP('Opći dio'!$C$3,'Opći dio'!$L$6:$U$137,10,FALSE))</f>
        <v/>
      </c>
      <c r="B187" s="143" t="str">
        <f>IF(C187="","",VLOOKUP('Opći dio'!$C$3,'Opći dio'!$L$6:$U$137,9,FALSE))</f>
        <v/>
      </c>
      <c r="C187" s="149"/>
      <c r="D187" s="144" t="str">
        <f t="shared" si="22"/>
        <v/>
      </c>
      <c r="E187" s="149"/>
      <c r="F187" s="144" t="str">
        <f t="shared" si="23"/>
        <v/>
      </c>
      <c r="G187" s="183"/>
      <c r="H187" s="144" t="str">
        <f t="shared" si="24"/>
        <v/>
      </c>
      <c r="I187" s="182"/>
      <c r="J187" s="182"/>
      <c r="K187" s="182"/>
      <c r="M187" s="139" t="str">
        <f t="shared" si="25"/>
        <v/>
      </c>
      <c r="N187" s="139" t="str">
        <f t="shared" si="26"/>
        <v/>
      </c>
      <c r="X187" s="139" t="s">
        <v>1106</v>
      </c>
      <c r="Y187" s="139" t="s">
        <v>1107</v>
      </c>
    </row>
    <row r="188" spans="1:25">
      <c r="A188" s="143" t="str">
        <f>IF(C188="","",VLOOKUP('Opći dio'!$C$3,'Opći dio'!$L$6:$U$137,10,FALSE))</f>
        <v/>
      </c>
      <c r="B188" s="143" t="str">
        <f>IF(C188="","",VLOOKUP('Opći dio'!$C$3,'Opći dio'!$L$6:$U$137,9,FALSE))</f>
        <v/>
      </c>
      <c r="C188" s="149"/>
      <c r="D188" s="144" t="str">
        <f t="shared" si="22"/>
        <v/>
      </c>
      <c r="E188" s="149"/>
      <c r="F188" s="144" t="str">
        <f t="shared" si="23"/>
        <v/>
      </c>
      <c r="G188" s="183"/>
      <c r="H188" s="144" t="str">
        <f t="shared" si="24"/>
        <v/>
      </c>
      <c r="I188" s="182"/>
      <c r="J188" s="182"/>
      <c r="K188" s="182"/>
      <c r="M188" s="139" t="str">
        <f t="shared" si="25"/>
        <v/>
      </c>
      <c r="N188" s="139" t="str">
        <f t="shared" si="26"/>
        <v/>
      </c>
      <c r="X188" s="139" t="s">
        <v>1110</v>
      </c>
      <c r="Y188" s="139" t="s">
        <v>1111</v>
      </c>
    </row>
    <row r="189" spans="1:25">
      <c r="A189" s="143" t="str">
        <f>IF(C189="","",VLOOKUP('Opći dio'!$C$3,'Opći dio'!$L$6:$U$137,10,FALSE))</f>
        <v/>
      </c>
      <c r="B189" s="143" t="str">
        <f>IF(C189="","",VLOOKUP('Opći dio'!$C$3,'Opći dio'!$L$6:$U$137,9,FALSE))</f>
        <v/>
      </c>
      <c r="C189" s="149"/>
      <c r="D189" s="144" t="str">
        <f t="shared" si="22"/>
        <v/>
      </c>
      <c r="E189" s="149"/>
      <c r="F189" s="144" t="str">
        <f t="shared" si="23"/>
        <v/>
      </c>
      <c r="G189" s="183"/>
      <c r="H189" s="144" t="str">
        <f t="shared" si="24"/>
        <v/>
      </c>
      <c r="I189" s="182"/>
      <c r="J189" s="182"/>
      <c r="K189" s="182"/>
      <c r="M189" s="139" t="str">
        <f t="shared" si="25"/>
        <v/>
      </c>
      <c r="N189" s="139" t="str">
        <f t="shared" si="26"/>
        <v/>
      </c>
      <c r="X189" s="139" t="s">
        <v>1112</v>
      </c>
      <c r="Y189" s="139" t="s">
        <v>1113</v>
      </c>
    </row>
    <row r="190" spans="1:25">
      <c r="A190" s="143" t="str">
        <f>IF(C190="","",VLOOKUP('Opći dio'!$C$3,'Opći dio'!$L$6:$U$137,10,FALSE))</f>
        <v/>
      </c>
      <c r="B190" s="143" t="str">
        <f>IF(C190="","",VLOOKUP('Opći dio'!$C$3,'Opći dio'!$L$6:$U$137,9,FALSE))</f>
        <v/>
      </c>
      <c r="C190" s="149"/>
      <c r="D190" s="144" t="str">
        <f t="shared" si="22"/>
        <v/>
      </c>
      <c r="E190" s="149"/>
      <c r="F190" s="144" t="str">
        <f t="shared" si="23"/>
        <v/>
      </c>
      <c r="G190" s="183"/>
      <c r="H190" s="144" t="str">
        <f t="shared" si="24"/>
        <v/>
      </c>
      <c r="I190" s="182"/>
      <c r="J190" s="182"/>
      <c r="K190" s="182"/>
      <c r="M190" s="139" t="str">
        <f t="shared" si="25"/>
        <v/>
      </c>
      <c r="N190" s="139" t="str">
        <f t="shared" si="26"/>
        <v/>
      </c>
      <c r="X190" s="139" t="s">
        <v>1114</v>
      </c>
      <c r="Y190" s="139" t="s">
        <v>1115</v>
      </c>
    </row>
    <row r="191" spans="1:25">
      <c r="A191" s="143" t="str">
        <f>IF(C191="","",VLOOKUP('Opći dio'!$C$3,'Opći dio'!$L$6:$U$137,10,FALSE))</f>
        <v/>
      </c>
      <c r="B191" s="143" t="str">
        <f>IF(C191="","",VLOOKUP('Opći dio'!$C$3,'Opći dio'!$L$6:$U$137,9,FALSE))</f>
        <v/>
      </c>
      <c r="C191" s="149"/>
      <c r="D191" s="144" t="str">
        <f t="shared" si="22"/>
        <v/>
      </c>
      <c r="E191" s="149"/>
      <c r="F191" s="144" t="str">
        <f t="shared" si="23"/>
        <v/>
      </c>
      <c r="G191" s="183"/>
      <c r="H191" s="144" t="str">
        <f t="shared" si="24"/>
        <v/>
      </c>
      <c r="I191" s="182"/>
      <c r="J191" s="182"/>
      <c r="K191" s="182"/>
      <c r="M191" s="139" t="str">
        <f t="shared" si="25"/>
        <v/>
      </c>
      <c r="N191" s="139" t="str">
        <f t="shared" si="26"/>
        <v/>
      </c>
      <c r="X191" s="139" t="s">
        <v>1116</v>
      </c>
      <c r="Y191" s="139" t="s">
        <v>1117</v>
      </c>
    </row>
    <row r="192" spans="1:25">
      <c r="A192" s="143" t="str">
        <f>IF(C192="","",VLOOKUP('Opći dio'!$C$3,'Opći dio'!$L$6:$U$137,10,FALSE))</f>
        <v/>
      </c>
      <c r="B192" s="143" t="str">
        <f>IF(C192="","",VLOOKUP('Opći dio'!$C$3,'Opći dio'!$L$6:$U$137,9,FALSE))</f>
        <v/>
      </c>
      <c r="C192" s="149"/>
      <c r="D192" s="144" t="str">
        <f t="shared" si="22"/>
        <v/>
      </c>
      <c r="E192" s="149"/>
      <c r="F192" s="144" t="str">
        <f t="shared" si="23"/>
        <v/>
      </c>
      <c r="G192" s="183"/>
      <c r="H192" s="144" t="str">
        <f t="shared" si="24"/>
        <v/>
      </c>
      <c r="I192" s="182"/>
      <c r="J192" s="182"/>
      <c r="K192" s="182"/>
      <c r="M192" s="139" t="str">
        <f t="shared" si="25"/>
        <v/>
      </c>
      <c r="N192" s="139" t="str">
        <f t="shared" si="26"/>
        <v/>
      </c>
      <c r="X192" s="139" t="s">
        <v>1118</v>
      </c>
      <c r="Y192" s="139" t="s">
        <v>1119</v>
      </c>
    </row>
    <row r="193" spans="1:25">
      <c r="A193" s="143" t="str">
        <f>IF(C193="","",VLOOKUP('Opći dio'!$C$3,'Opći dio'!$L$6:$U$137,10,FALSE))</f>
        <v/>
      </c>
      <c r="B193" s="143" t="str">
        <f>IF(C193="","",VLOOKUP('Opći dio'!$C$3,'Opći dio'!$L$6:$U$137,9,FALSE))</f>
        <v/>
      </c>
      <c r="C193" s="149"/>
      <c r="D193" s="144" t="str">
        <f t="shared" si="22"/>
        <v/>
      </c>
      <c r="E193" s="149"/>
      <c r="F193" s="144" t="str">
        <f t="shared" si="23"/>
        <v/>
      </c>
      <c r="G193" s="183"/>
      <c r="H193" s="144" t="str">
        <f t="shared" si="24"/>
        <v/>
      </c>
      <c r="I193" s="182"/>
      <c r="J193" s="182"/>
      <c r="K193" s="182"/>
      <c r="M193" s="139" t="str">
        <f t="shared" si="25"/>
        <v/>
      </c>
      <c r="N193" s="139" t="str">
        <f t="shared" si="26"/>
        <v/>
      </c>
      <c r="X193" s="139" t="s">
        <v>1120</v>
      </c>
      <c r="Y193" s="139" t="s">
        <v>1121</v>
      </c>
    </row>
    <row r="194" spans="1:25">
      <c r="A194" s="143" t="str">
        <f>IF(C194="","",VLOOKUP('Opći dio'!$C$3,'Opći dio'!$L$6:$U$137,10,FALSE))</f>
        <v/>
      </c>
      <c r="B194" s="143" t="str">
        <f>IF(C194="","",VLOOKUP('Opći dio'!$C$3,'Opći dio'!$L$6:$U$137,9,FALSE))</f>
        <v/>
      </c>
      <c r="C194" s="149"/>
      <c r="D194" s="144" t="str">
        <f t="shared" si="22"/>
        <v/>
      </c>
      <c r="E194" s="149"/>
      <c r="F194" s="144" t="str">
        <f t="shared" si="23"/>
        <v/>
      </c>
      <c r="G194" s="183"/>
      <c r="H194" s="144" t="str">
        <f t="shared" si="24"/>
        <v/>
      </c>
      <c r="I194" s="182"/>
      <c r="J194" s="182"/>
      <c r="K194" s="182"/>
      <c r="M194" s="139" t="str">
        <f t="shared" si="25"/>
        <v/>
      </c>
      <c r="N194" s="139" t="str">
        <f t="shared" si="26"/>
        <v/>
      </c>
      <c r="X194" s="139" t="s">
        <v>1122</v>
      </c>
      <c r="Y194" s="139" t="s">
        <v>1123</v>
      </c>
    </row>
    <row r="195" spans="1:25">
      <c r="A195" s="143" t="str">
        <f>IF(C195="","",VLOOKUP('Opći dio'!$C$3,'Opći dio'!$L$6:$U$137,10,FALSE))</f>
        <v/>
      </c>
      <c r="B195" s="143" t="str">
        <f>IF(C195="","",VLOOKUP('Opći dio'!$C$3,'Opći dio'!$L$6:$U$137,9,FALSE))</f>
        <v/>
      </c>
      <c r="C195" s="149"/>
      <c r="D195" s="144" t="str">
        <f t="shared" si="22"/>
        <v/>
      </c>
      <c r="E195" s="149"/>
      <c r="F195" s="144" t="str">
        <f t="shared" si="23"/>
        <v/>
      </c>
      <c r="G195" s="183"/>
      <c r="H195" s="144" t="str">
        <f t="shared" si="24"/>
        <v/>
      </c>
      <c r="I195" s="182"/>
      <c r="J195" s="182"/>
      <c r="K195" s="182"/>
      <c r="M195" s="139" t="str">
        <f t="shared" si="25"/>
        <v/>
      </c>
      <c r="N195" s="139" t="str">
        <f t="shared" si="26"/>
        <v/>
      </c>
      <c r="X195" s="139" t="s">
        <v>1124</v>
      </c>
      <c r="Y195" s="139" t="s">
        <v>1125</v>
      </c>
    </row>
    <row r="196" spans="1:25">
      <c r="A196" s="143" t="str">
        <f>IF(C196="","",VLOOKUP('Opći dio'!$C$3,'Opći dio'!$L$6:$U$137,10,FALSE))</f>
        <v/>
      </c>
      <c r="B196" s="143" t="str">
        <f>IF(C196="","",VLOOKUP('Opći dio'!$C$3,'Opći dio'!$L$6:$U$137,9,FALSE))</f>
        <v/>
      </c>
      <c r="C196" s="149"/>
      <c r="D196" s="144" t="str">
        <f t="shared" ref="D196:D259" si="27">IFERROR(VLOOKUP(C196,$O$6:$P$23,2,FALSE),"")</f>
        <v/>
      </c>
      <c r="E196" s="149"/>
      <c r="F196" s="144" t="str">
        <f t="shared" ref="F196:F259" si="28">IFERROR(VLOOKUP(E196,$R$5:$T$129,2,FALSE),"")</f>
        <v/>
      </c>
      <c r="G196" s="183"/>
      <c r="H196" s="144" t="str">
        <f t="shared" ref="H196:H259" si="29">IFERROR(VLOOKUP(G196,$X$6:$Y$297,2,FALSE),"")</f>
        <v/>
      </c>
      <c r="I196" s="182"/>
      <c r="J196" s="182"/>
      <c r="K196" s="182"/>
      <c r="M196" s="139" t="str">
        <f t="shared" ref="M196:M259" si="30">LEFT(E196,3)</f>
        <v/>
      </c>
      <c r="N196" s="139" t="str">
        <f t="shared" ref="N196:N259" si="31">LEFT(E196,2)</f>
        <v/>
      </c>
      <c r="X196" s="139" t="s">
        <v>1126</v>
      </c>
      <c r="Y196" s="139" t="s">
        <v>1127</v>
      </c>
    </row>
    <row r="197" spans="1:25">
      <c r="A197" s="143" t="str">
        <f>IF(C197="","",VLOOKUP('Opći dio'!$C$3,'Opći dio'!$L$6:$U$137,10,FALSE))</f>
        <v/>
      </c>
      <c r="B197" s="143" t="str">
        <f>IF(C197="","",VLOOKUP('Opći dio'!$C$3,'Opći dio'!$L$6:$U$137,9,FALSE))</f>
        <v/>
      </c>
      <c r="C197" s="149"/>
      <c r="D197" s="144" t="str">
        <f t="shared" si="27"/>
        <v/>
      </c>
      <c r="E197" s="149"/>
      <c r="F197" s="144" t="str">
        <f t="shared" si="28"/>
        <v/>
      </c>
      <c r="G197" s="183"/>
      <c r="H197" s="144" t="str">
        <f t="shared" si="29"/>
        <v/>
      </c>
      <c r="I197" s="182"/>
      <c r="J197" s="182"/>
      <c r="K197" s="182"/>
      <c r="M197" s="139" t="str">
        <f t="shared" si="30"/>
        <v/>
      </c>
      <c r="N197" s="139" t="str">
        <f t="shared" si="31"/>
        <v/>
      </c>
      <c r="X197" s="139" t="s">
        <v>1128</v>
      </c>
      <c r="Y197" s="139" t="s">
        <v>1129</v>
      </c>
    </row>
    <row r="198" spans="1:25">
      <c r="A198" s="143" t="str">
        <f>IF(C198="","",VLOOKUP('Opći dio'!$C$3,'Opći dio'!$L$6:$U$137,10,FALSE))</f>
        <v/>
      </c>
      <c r="B198" s="143" t="str">
        <f>IF(C198="","",VLOOKUP('Opći dio'!$C$3,'Opći dio'!$L$6:$U$137,9,FALSE))</f>
        <v/>
      </c>
      <c r="C198" s="149"/>
      <c r="D198" s="144" t="str">
        <f t="shared" si="27"/>
        <v/>
      </c>
      <c r="E198" s="149"/>
      <c r="F198" s="144" t="str">
        <f t="shared" si="28"/>
        <v/>
      </c>
      <c r="G198" s="183"/>
      <c r="H198" s="144" t="str">
        <f t="shared" si="29"/>
        <v/>
      </c>
      <c r="I198" s="182"/>
      <c r="J198" s="182"/>
      <c r="K198" s="182"/>
      <c r="M198" s="139" t="str">
        <f t="shared" si="30"/>
        <v/>
      </c>
      <c r="N198" s="139" t="str">
        <f t="shared" si="31"/>
        <v/>
      </c>
      <c r="X198" s="139" t="s">
        <v>1130</v>
      </c>
      <c r="Y198" s="139" t="s">
        <v>1131</v>
      </c>
    </row>
    <row r="199" spans="1:25">
      <c r="A199" s="143" t="str">
        <f>IF(C199="","",VLOOKUP('Opći dio'!$C$3,'Opći dio'!$L$6:$U$137,10,FALSE))</f>
        <v/>
      </c>
      <c r="B199" s="143" t="str">
        <f>IF(C199="","",VLOOKUP('Opći dio'!$C$3,'Opći dio'!$L$6:$U$137,9,FALSE))</f>
        <v/>
      </c>
      <c r="C199" s="149"/>
      <c r="D199" s="144" t="str">
        <f t="shared" si="27"/>
        <v/>
      </c>
      <c r="E199" s="149"/>
      <c r="F199" s="144" t="str">
        <f t="shared" si="28"/>
        <v/>
      </c>
      <c r="G199" s="183"/>
      <c r="H199" s="144" t="str">
        <f t="shared" si="29"/>
        <v/>
      </c>
      <c r="I199" s="182"/>
      <c r="J199" s="182"/>
      <c r="K199" s="182"/>
      <c r="M199" s="139" t="str">
        <f t="shared" si="30"/>
        <v/>
      </c>
      <c r="N199" s="139" t="str">
        <f t="shared" si="31"/>
        <v/>
      </c>
      <c r="X199" s="139" t="s">
        <v>1860</v>
      </c>
      <c r="Y199" s="139" t="s">
        <v>1861</v>
      </c>
    </row>
    <row r="200" spans="1:25">
      <c r="A200" s="143" t="str">
        <f>IF(C200="","",VLOOKUP('Opći dio'!$C$3,'Opći dio'!$L$6:$U$137,10,FALSE))</f>
        <v/>
      </c>
      <c r="B200" s="143" t="str">
        <f>IF(C200="","",VLOOKUP('Opći dio'!$C$3,'Opći dio'!$L$6:$U$137,9,FALSE))</f>
        <v/>
      </c>
      <c r="C200" s="149"/>
      <c r="D200" s="144" t="str">
        <f t="shared" si="27"/>
        <v/>
      </c>
      <c r="E200" s="149"/>
      <c r="F200" s="144" t="str">
        <f t="shared" si="28"/>
        <v/>
      </c>
      <c r="G200" s="183"/>
      <c r="H200" s="144" t="str">
        <f t="shared" si="29"/>
        <v/>
      </c>
      <c r="I200" s="182"/>
      <c r="J200" s="182"/>
      <c r="K200" s="182"/>
      <c r="M200" s="139" t="str">
        <f t="shared" si="30"/>
        <v/>
      </c>
      <c r="N200" s="139" t="str">
        <f t="shared" si="31"/>
        <v/>
      </c>
      <c r="X200" s="139" t="s">
        <v>1132</v>
      </c>
      <c r="Y200" s="139" t="s">
        <v>1133</v>
      </c>
    </row>
    <row r="201" spans="1:25">
      <c r="A201" s="143" t="str">
        <f>IF(C201="","",VLOOKUP('Opći dio'!$C$3,'Opći dio'!$L$6:$U$137,10,FALSE))</f>
        <v/>
      </c>
      <c r="B201" s="143" t="str">
        <f>IF(C201="","",VLOOKUP('Opći dio'!$C$3,'Opći dio'!$L$6:$U$137,9,FALSE))</f>
        <v/>
      </c>
      <c r="C201" s="149"/>
      <c r="D201" s="144" t="str">
        <f t="shared" si="27"/>
        <v/>
      </c>
      <c r="E201" s="149"/>
      <c r="F201" s="144" t="str">
        <f t="shared" si="28"/>
        <v/>
      </c>
      <c r="G201" s="183"/>
      <c r="H201" s="144" t="str">
        <f t="shared" si="29"/>
        <v/>
      </c>
      <c r="I201" s="182"/>
      <c r="J201" s="182"/>
      <c r="K201" s="182"/>
      <c r="M201" s="139" t="str">
        <f t="shared" si="30"/>
        <v/>
      </c>
      <c r="N201" s="139" t="str">
        <f t="shared" si="31"/>
        <v/>
      </c>
      <c r="X201" s="139" t="s">
        <v>1134</v>
      </c>
      <c r="Y201" s="139" t="s">
        <v>1135</v>
      </c>
    </row>
    <row r="202" spans="1:25">
      <c r="A202" s="143" t="str">
        <f>IF(C202="","",VLOOKUP('Opći dio'!$C$3,'Opći dio'!$L$6:$U$137,10,FALSE))</f>
        <v/>
      </c>
      <c r="B202" s="143" t="str">
        <f>IF(C202="","",VLOOKUP('Opći dio'!$C$3,'Opći dio'!$L$6:$U$137,9,FALSE))</f>
        <v/>
      </c>
      <c r="C202" s="149"/>
      <c r="D202" s="144" t="str">
        <f t="shared" si="27"/>
        <v/>
      </c>
      <c r="E202" s="149"/>
      <c r="F202" s="144" t="str">
        <f t="shared" si="28"/>
        <v/>
      </c>
      <c r="G202" s="183"/>
      <c r="H202" s="144" t="str">
        <f t="shared" si="29"/>
        <v/>
      </c>
      <c r="I202" s="182"/>
      <c r="J202" s="182"/>
      <c r="K202" s="182"/>
      <c r="M202" s="139" t="str">
        <f t="shared" si="30"/>
        <v/>
      </c>
      <c r="N202" s="139" t="str">
        <f t="shared" si="31"/>
        <v/>
      </c>
      <c r="X202" s="139" t="s">
        <v>1142</v>
      </c>
      <c r="Y202" s="139" t="s">
        <v>1143</v>
      </c>
    </row>
    <row r="203" spans="1:25">
      <c r="A203" s="143" t="str">
        <f>IF(C203="","",VLOOKUP('Opći dio'!$C$3,'Opći dio'!$L$6:$U$137,10,FALSE))</f>
        <v/>
      </c>
      <c r="B203" s="143" t="str">
        <f>IF(C203="","",VLOOKUP('Opći dio'!$C$3,'Opći dio'!$L$6:$U$137,9,FALSE))</f>
        <v/>
      </c>
      <c r="C203" s="149"/>
      <c r="D203" s="144" t="str">
        <f t="shared" si="27"/>
        <v/>
      </c>
      <c r="E203" s="149"/>
      <c r="F203" s="144" t="str">
        <f t="shared" si="28"/>
        <v/>
      </c>
      <c r="G203" s="183"/>
      <c r="H203" s="144" t="str">
        <f t="shared" si="29"/>
        <v/>
      </c>
      <c r="I203" s="182"/>
      <c r="J203" s="182"/>
      <c r="K203" s="182"/>
      <c r="M203" s="139" t="str">
        <f t="shared" si="30"/>
        <v/>
      </c>
      <c r="N203" s="139" t="str">
        <f t="shared" si="31"/>
        <v/>
      </c>
      <c r="X203" s="139" t="s">
        <v>1144</v>
      </c>
      <c r="Y203" s="139" t="s">
        <v>1396</v>
      </c>
    </row>
    <row r="204" spans="1:25">
      <c r="A204" s="143" t="str">
        <f>IF(C204="","",VLOOKUP('Opći dio'!$C$3,'Opći dio'!$L$6:$U$137,10,FALSE))</f>
        <v/>
      </c>
      <c r="B204" s="143" t="str">
        <f>IF(C204="","",VLOOKUP('Opći dio'!$C$3,'Opći dio'!$L$6:$U$137,9,FALSE))</f>
        <v/>
      </c>
      <c r="C204" s="149"/>
      <c r="D204" s="144" t="str">
        <f t="shared" si="27"/>
        <v/>
      </c>
      <c r="E204" s="149"/>
      <c r="F204" s="144" t="str">
        <f t="shared" si="28"/>
        <v/>
      </c>
      <c r="G204" s="183"/>
      <c r="H204" s="144" t="str">
        <f t="shared" si="29"/>
        <v/>
      </c>
      <c r="I204" s="182"/>
      <c r="J204" s="182"/>
      <c r="K204" s="182"/>
      <c r="M204" s="139" t="str">
        <f t="shared" si="30"/>
        <v/>
      </c>
      <c r="N204" s="139" t="str">
        <f t="shared" si="31"/>
        <v/>
      </c>
      <c r="X204" s="139" t="s">
        <v>1147</v>
      </c>
      <c r="Y204" s="139" t="s">
        <v>1148</v>
      </c>
    </row>
    <row r="205" spans="1:25">
      <c r="A205" s="143" t="str">
        <f>IF(C205="","",VLOOKUP('Opći dio'!$C$3,'Opći dio'!$L$6:$U$137,10,FALSE))</f>
        <v/>
      </c>
      <c r="B205" s="143" t="str">
        <f>IF(C205="","",VLOOKUP('Opći dio'!$C$3,'Opći dio'!$L$6:$U$137,9,FALSE))</f>
        <v/>
      </c>
      <c r="C205" s="149"/>
      <c r="D205" s="144" t="str">
        <f t="shared" si="27"/>
        <v/>
      </c>
      <c r="E205" s="149"/>
      <c r="F205" s="144" t="str">
        <f t="shared" si="28"/>
        <v/>
      </c>
      <c r="G205" s="183"/>
      <c r="H205" s="144" t="str">
        <f t="shared" si="29"/>
        <v/>
      </c>
      <c r="I205" s="182"/>
      <c r="J205" s="182"/>
      <c r="K205" s="182"/>
      <c r="M205" s="139" t="str">
        <f t="shared" si="30"/>
        <v/>
      </c>
      <c r="N205" s="139" t="str">
        <f t="shared" si="31"/>
        <v/>
      </c>
      <c r="X205" s="139" t="s">
        <v>1149</v>
      </c>
      <c r="Y205" s="139" t="s">
        <v>1395</v>
      </c>
    </row>
    <row r="206" spans="1:25">
      <c r="A206" s="143" t="str">
        <f>IF(C206="","",VLOOKUP('Opći dio'!$C$3,'Opći dio'!$L$6:$U$137,10,FALSE))</f>
        <v/>
      </c>
      <c r="B206" s="143" t="str">
        <f>IF(C206="","",VLOOKUP('Opći dio'!$C$3,'Opći dio'!$L$6:$U$137,9,FALSE))</f>
        <v/>
      </c>
      <c r="C206" s="149"/>
      <c r="D206" s="144" t="str">
        <f t="shared" si="27"/>
        <v/>
      </c>
      <c r="E206" s="149"/>
      <c r="F206" s="144" t="str">
        <f t="shared" si="28"/>
        <v/>
      </c>
      <c r="G206" s="183"/>
      <c r="H206" s="144" t="str">
        <f t="shared" si="29"/>
        <v/>
      </c>
      <c r="I206" s="182"/>
      <c r="J206" s="182"/>
      <c r="K206" s="182"/>
      <c r="M206" s="139" t="str">
        <f t="shared" si="30"/>
        <v/>
      </c>
      <c r="N206" s="139" t="str">
        <f t="shared" si="31"/>
        <v/>
      </c>
      <c r="X206" s="139" t="s">
        <v>1150</v>
      </c>
      <c r="Y206" s="139" t="s">
        <v>1151</v>
      </c>
    </row>
    <row r="207" spans="1:25">
      <c r="A207" s="143" t="str">
        <f>IF(C207="","",VLOOKUP('Opći dio'!$C$3,'Opći dio'!$L$6:$U$137,10,FALSE))</f>
        <v/>
      </c>
      <c r="B207" s="143" t="str">
        <f>IF(C207="","",VLOOKUP('Opći dio'!$C$3,'Opći dio'!$L$6:$U$137,9,FALSE))</f>
        <v/>
      </c>
      <c r="C207" s="149"/>
      <c r="D207" s="144" t="str">
        <f t="shared" si="27"/>
        <v/>
      </c>
      <c r="E207" s="149"/>
      <c r="F207" s="144" t="str">
        <f t="shared" si="28"/>
        <v/>
      </c>
      <c r="G207" s="183"/>
      <c r="H207" s="144" t="str">
        <f t="shared" si="29"/>
        <v/>
      </c>
      <c r="I207" s="182"/>
      <c r="J207" s="182"/>
      <c r="K207" s="182"/>
      <c r="M207" s="139" t="str">
        <f t="shared" si="30"/>
        <v/>
      </c>
      <c r="N207" s="139" t="str">
        <f t="shared" si="31"/>
        <v/>
      </c>
      <c r="X207" s="139" t="s">
        <v>1152</v>
      </c>
      <c r="Y207" s="139" t="s">
        <v>1397</v>
      </c>
    </row>
    <row r="208" spans="1:25">
      <c r="A208" s="143" t="str">
        <f>IF(C208="","",VLOOKUP('Opći dio'!$C$3,'Opći dio'!$L$6:$U$137,10,FALSE))</f>
        <v/>
      </c>
      <c r="B208" s="143" t="str">
        <f>IF(C208="","",VLOOKUP('Opći dio'!$C$3,'Opći dio'!$L$6:$U$137,9,FALSE))</f>
        <v/>
      </c>
      <c r="C208" s="149"/>
      <c r="D208" s="144" t="str">
        <f t="shared" si="27"/>
        <v/>
      </c>
      <c r="E208" s="149"/>
      <c r="F208" s="144" t="str">
        <f t="shared" si="28"/>
        <v/>
      </c>
      <c r="G208" s="183"/>
      <c r="H208" s="144" t="str">
        <f t="shared" si="29"/>
        <v/>
      </c>
      <c r="I208" s="182"/>
      <c r="J208" s="182"/>
      <c r="K208" s="182"/>
      <c r="M208" s="139" t="str">
        <f t="shared" si="30"/>
        <v/>
      </c>
      <c r="N208" s="139" t="str">
        <f t="shared" si="31"/>
        <v/>
      </c>
      <c r="X208" s="139" t="s">
        <v>1157</v>
      </c>
      <c r="Y208" s="139" t="s">
        <v>1158</v>
      </c>
    </row>
    <row r="209" spans="1:25">
      <c r="A209" s="143" t="str">
        <f>IF(C209="","",VLOOKUP('Opći dio'!$C$3,'Opći dio'!$L$6:$U$137,10,FALSE))</f>
        <v/>
      </c>
      <c r="B209" s="143" t="str">
        <f>IF(C209="","",VLOOKUP('Opći dio'!$C$3,'Opći dio'!$L$6:$U$137,9,FALSE))</f>
        <v/>
      </c>
      <c r="C209" s="149"/>
      <c r="D209" s="144" t="str">
        <f t="shared" si="27"/>
        <v/>
      </c>
      <c r="E209" s="149"/>
      <c r="F209" s="144" t="str">
        <f t="shared" si="28"/>
        <v/>
      </c>
      <c r="G209" s="183"/>
      <c r="H209" s="144" t="str">
        <f t="shared" si="29"/>
        <v/>
      </c>
      <c r="I209" s="182"/>
      <c r="J209" s="182"/>
      <c r="K209" s="182"/>
      <c r="M209" s="139" t="str">
        <f t="shared" si="30"/>
        <v/>
      </c>
      <c r="N209" s="139" t="str">
        <f t="shared" si="31"/>
        <v/>
      </c>
      <c r="X209" s="139" t="s">
        <v>1159</v>
      </c>
      <c r="Y209" s="139" t="s">
        <v>1160</v>
      </c>
    </row>
    <row r="210" spans="1:25">
      <c r="A210" s="143" t="str">
        <f>IF(C210="","",VLOOKUP('Opći dio'!$C$3,'Opći dio'!$L$6:$U$137,10,FALSE))</f>
        <v/>
      </c>
      <c r="B210" s="143" t="str">
        <f>IF(C210="","",VLOOKUP('Opći dio'!$C$3,'Opći dio'!$L$6:$U$137,9,FALSE))</f>
        <v/>
      </c>
      <c r="C210" s="149"/>
      <c r="D210" s="144" t="str">
        <f t="shared" si="27"/>
        <v/>
      </c>
      <c r="E210" s="149"/>
      <c r="F210" s="144" t="str">
        <f t="shared" si="28"/>
        <v/>
      </c>
      <c r="G210" s="183"/>
      <c r="H210" s="144" t="str">
        <f t="shared" si="29"/>
        <v/>
      </c>
      <c r="I210" s="182"/>
      <c r="J210" s="182"/>
      <c r="K210" s="182"/>
      <c r="M210" s="139" t="str">
        <f t="shared" si="30"/>
        <v/>
      </c>
      <c r="N210" s="139" t="str">
        <f t="shared" si="31"/>
        <v/>
      </c>
      <c r="X210" s="139" t="s">
        <v>1161</v>
      </c>
      <c r="Y210" s="139" t="s">
        <v>1162</v>
      </c>
    </row>
    <row r="211" spans="1:25">
      <c r="A211" s="143" t="str">
        <f>IF(C211="","",VLOOKUP('Opći dio'!$C$3,'Opći dio'!$L$6:$U$137,10,FALSE))</f>
        <v/>
      </c>
      <c r="B211" s="143" t="str">
        <f>IF(C211="","",VLOOKUP('Opći dio'!$C$3,'Opći dio'!$L$6:$U$137,9,FALSE))</f>
        <v/>
      </c>
      <c r="C211" s="149"/>
      <c r="D211" s="144" t="str">
        <f t="shared" si="27"/>
        <v/>
      </c>
      <c r="E211" s="149"/>
      <c r="F211" s="144" t="str">
        <f t="shared" si="28"/>
        <v/>
      </c>
      <c r="G211" s="183"/>
      <c r="H211" s="144" t="str">
        <f t="shared" si="29"/>
        <v/>
      </c>
      <c r="I211" s="182"/>
      <c r="J211" s="182"/>
      <c r="K211" s="182"/>
      <c r="M211" s="139" t="str">
        <f t="shared" si="30"/>
        <v/>
      </c>
      <c r="N211" s="139" t="str">
        <f t="shared" si="31"/>
        <v/>
      </c>
      <c r="X211" s="139" t="s">
        <v>1163</v>
      </c>
      <c r="Y211" s="139" t="s">
        <v>1164</v>
      </c>
    </row>
    <row r="212" spans="1:25">
      <c r="A212" s="143" t="str">
        <f>IF(C212="","",VLOOKUP('Opći dio'!$C$3,'Opći dio'!$L$6:$U$137,10,FALSE))</f>
        <v/>
      </c>
      <c r="B212" s="143" t="str">
        <f>IF(C212="","",VLOOKUP('Opći dio'!$C$3,'Opći dio'!$L$6:$U$137,9,FALSE))</f>
        <v/>
      </c>
      <c r="C212" s="149"/>
      <c r="D212" s="144" t="str">
        <f t="shared" si="27"/>
        <v/>
      </c>
      <c r="E212" s="149"/>
      <c r="F212" s="144" t="str">
        <f t="shared" si="28"/>
        <v/>
      </c>
      <c r="G212" s="183"/>
      <c r="H212" s="144" t="str">
        <f t="shared" si="29"/>
        <v/>
      </c>
      <c r="I212" s="182"/>
      <c r="J212" s="182"/>
      <c r="K212" s="182"/>
      <c r="M212" s="139" t="str">
        <f t="shared" si="30"/>
        <v/>
      </c>
      <c r="N212" s="139" t="str">
        <f t="shared" si="31"/>
        <v/>
      </c>
      <c r="X212" s="139" t="s">
        <v>1862</v>
      </c>
      <c r="Y212" s="139" t="s">
        <v>1863</v>
      </c>
    </row>
    <row r="213" spans="1:25">
      <c r="A213" s="143" t="str">
        <f>IF(C213="","",VLOOKUP('Opći dio'!$C$3,'Opći dio'!$L$6:$U$137,10,FALSE))</f>
        <v/>
      </c>
      <c r="B213" s="143" t="str">
        <f>IF(C213="","",VLOOKUP('Opći dio'!$C$3,'Opći dio'!$L$6:$U$137,9,FALSE))</f>
        <v/>
      </c>
      <c r="C213" s="149"/>
      <c r="D213" s="144" t="str">
        <f t="shared" si="27"/>
        <v/>
      </c>
      <c r="E213" s="149"/>
      <c r="F213" s="144" t="str">
        <f t="shared" si="28"/>
        <v/>
      </c>
      <c r="G213" s="183"/>
      <c r="H213" s="144" t="str">
        <f t="shared" si="29"/>
        <v/>
      </c>
      <c r="I213" s="182"/>
      <c r="J213" s="182"/>
      <c r="K213" s="182"/>
      <c r="M213" s="139" t="str">
        <f t="shared" si="30"/>
        <v/>
      </c>
      <c r="N213" s="139" t="str">
        <f t="shared" si="31"/>
        <v/>
      </c>
      <c r="X213" s="139" t="s">
        <v>1165</v>
      </c>
      <c r="Y213" s="139" t="s">
        <v>1166</v>
      </c>
    </row>
    <row r="214" spans="1:25">
      <c r="A214" s="143" t="str">
        <f>IF(C214="","",VLOOKUP('Opći dio'!$C$3,'Opći dio'!$L$6:$U$137,10,FALSE))</f>
        <v/>
      </c>
      <c r="B214" s="143" t="str">
        <f>IF(C214="","",VLOOKUP('Opći dio'!$C$3,'Opći dio'!$L$6:$U$137,9,FALSE))</f>
        <v/>
      </c>
      <c r="C214" s="149"/>
      <c r="D214" s="144" t="str">
        <f t="shared" si="27"/>
        <v/>
      </c>
      <c r="E214" s="149"/>
      <c r="F214" s="144" t="str">
        <f t="shared" si="28"/>
        <v/>
      </c>
      <c r="G214" s="183"/>
      <c r="H214" s="144" t="str">
        <f t="shared" si="29"/>
        <v/>
      </c>
      <c r="I214" s="182"/>
      <c r="J214" s="182"/>
      <c r="K214" s="182"/>
      <c r="M214" s="139" t="str">
        <f t="shared" si="30"/>
        <v/>
      </c>
      <c r="N214" s="139" t="str">
        <f t="shared" si="31"/>
        <v/>
      </c>
      <c r="X214" s="139" t="s">
        <v>2234</v>
      </c>
      <c r="Y214" s="139" t="s">
        <v>2235</v>
      </c>
    </row>
    <row r="215" spans="1:25">
      <c r="A215" s="143" t="str">
        <f>IF(C215="","",VLOOKUP('Opći dio'!$C$3,'Opći dio'!$L$6:$U$137,10,FALSE))</f>
        <v/>
      </c>
      <c r="B215" s="143" t="str">
        <f>IF(C215="","",VLOOKUP('Opći dio'!$C$3,'Opći dio'!$L$6:$U$137,9,FALSE))</f>
        <v/>
      </c>
      <c r="C215" s="149"/>
      <c r="D215" s="144" t="str">
        <f t="shared" si="27"/>
        <v/>
      </c>
      <c r="E215" s="149"/>
      <c r="F215" s="144" t="str">
        <f t="shared" si="28"/>
        <v/>
      </c>
      <c r="G215" s="183"/>
      <c r="H215" s="144" t="str">
        <f t="shared" si="29"/>
        <v/>
      </c>
      <c r="I215" s="182"/>
      <c r="J215" s="182"/>
      <c r="K215" s="182"/>
      <c r="M215" s="139" t="str">
        <f t="shared" si="30"/>
        <v/>
      </c>
      <c r="N215" s="139" t="str">
        <f t="shared" si="31"/>
        <v/>
      </c>
      <c r="X215" s="139" t="s">
        <v>1864</v>
      </c>
      <c r="Y215" s="139" t="s">
        <v>787</v>
      </c>
    </row>
    <row r="216" spans="1:25">
      <c r="A216" s="143" t="str">
        <f>IF(C216="","",VLOOKUP('Opći dio'!$C$3,'Opći dio'!$L$6:$U$137,10,FALSE))</f>
        <v/>
      </c>
      <c r="B216" s="143" t="str">
        <f>IF(C216="","",VLOOKUP('Opći dio'!$C$3,'Opći dio'!$L$6:$U$137,9,FALSE))</f>
        <v/>
      </c>
      <c r="C216" s="149"/>
      <c r="D216" s="144" t="str">
        <f t="shared" si="27"/>
        <v/>
      </c>
      <c r="E216" s="149"/>
      <c r="F216" s="144" t="str">
        <f t="shared" si="28"/>
        <v/>
      </c>
      <c r="G216" s="183"/>
      <c r="H216" s="144" t="str">
        <f t="shared" si="29"/>
        <v/>
      </c>
      <c r="I216" s="182"/>
      <c r="J216" s="182"/>
      <c r="K216" s="182"/>
      <c r="M216" s="139" t="str">
        <f t="shared" si="30"/>
        <v/>
      </c>
      <c r="N216" s="139" t="str">
        <f t="shared" si="31"/>
        <v/>
      </c>
      <c r="X216" s="139" t="s">
        <v>1169</v>
      </c>
      <c r="Y216" s="139" t="s">
        <v>1170</v>
      </c>
    </row>
    <row r="217" spans="1:25">
      <c r="A217" s="143" t="str">
        <f>IF(C217="","",VLOOKUP('Opći dio'!$C$3,'Opći dio'!$L$6:$U$137,10,FALSE))</f>
        <v/>
      </c>
      <c r="B217" s="143" t="str">
        <f>IF(C217="","",VLOOKUP('Opći dio'!$C$3,'Opći dio'!$L$6:$U$137,9,FALSE))</f>
        <v/>
      </c>
      <c r="C217" s="149"/>
      <c r="D217" s="144" t="str">
        <f t="shared" si="27"/>
        <v/>
      </c>
      <c r="E217" s="149"/>
      <c r="F217" s="144" t="str">
        <f t="shared" si="28"/>
        <v/>
      </c>
      <c r="G217" s="183"/>
      <c r="H217" s="144" t="str">
        <f t="shared" si="29"/>
        <v/>
      </c>
      <c r="I217" s="182"/>
      <c r="J217" s="182"/>
      <c r="K217" s="182"/>
      <c r="M217" s="139" t="str">
        <f t="shared" si="30"/>
        <v/>
      </c>
      <c r="N217" s="139" t="str">
        <f t="shared" si="31"/>
        <v/>
      </c>
      <c r="X217" s="139" t="s">
        <v>1171</v>
      </c>
      <c r="Y217" s="139" t="s">
        <v>1172</v>
      </c>
    </row>
    <row r="218" spans="1:25">
      <c r="A218" s="143" t="str">
        <f>IF(C218="","",VLOOKUP('Opći dio'!$C$3,'Opći dio'!$L$6:$U$137,10,FALSE))</f>
        <v/>
      </c>
      <c r="B218" s="143" t="str">
        <f>IF(C218="","",VLOOKUP('Opći dio'!$C$3,'Opći dio'!$L$6:$U$137,9,FALSE))</f>
        <v/>
      </c>
      <c r="C218" s="149"/>
      <c r="D218" s="144" t="str">
        <f t="shared" si="27"/>
        <v/>
      </c>
      <c r="E218" s="149"/>
      <c r="F218" s="144" t="str">
        <f t="shared" si="28"/>
        <v/>
      </c>
      <c r="G218" s="183"/>
      <c r="H218" s="144" t="str">
        <f t="shared" si="29"/>
        <v/>
      </c>
      <c r="I218" s="182"/>
      <c r="J218" s="182"/>
      <c r="K218" s="182"/>
      <c r="M218" s="139" t="str">
        <f t="shared" si="30"/>
        <v/>
      </c>
      <c r="N218" s="139" t="str">
        <f t="shared" si="31"/>
        <v/>
      </c>
      <c r="X218" s="139" t="s">
        <v>1173</v>
      </c>
      <c r="Y218" s="139" t="s">
        <v>1174</v>
      </c>
    </row>
    <row r="219" spans="1:25">
      <c r="A219" s="143" t="str">
        <f>IF(C219="","",VLOOKUP('Opći dio'!$C$3,'Opći dio'!$L$6:$U$137,10,FALSE))</f>
        <v/>
      </c>
      <c r="B219" s="143" t="str">
        <f>IF(C219="","",VLOOKUP('Opći dio'!$C$3,'Opći dio'!$L$6:$U$137,9,FALSE))</f>
        <v/>
      </c>
      <c r="C219" s="149"/>
      <c r="D219" s="144" t="str">
        <f t="shared" si="27"/>
        <v/>
      </c>
      <c r="E219" s="149"/>
      <c r="F219" s="144" t="str">
        <f t="shared" si="28"/>
        <v/>
      </c>
      <c r="G219" s="183"/>
      <c r="H219" s="144" t="str">
        <f t="shared" si="29"/>
        <v/>
      </c>
      <c r="I219" s="182"/>
      <c r="J219" s="182"/>
      <c r="K219" s="182"/>
      <c r="M219" s="139" t="str">
        <f t="shared" si="30"/>
        <v/>
      </c>
      <c r="N219" s="139" t="str">
        <f t="shared" si="31"/>
        <v/>
      </c>
      <c r="X219" s="139" t="s">
        <v>1175</v>
      </c>
      <c r="Y219" s="139" t="s">
        <v>1176</v>
      </c>
    </row>
    <row r="220" spans="1:25">
      <c r="A220" s="143" t="str">
        <f>IF(C220="","",VLOOKUP('Opći dio'!$C$3,'Opći dio'!$L$6:$U$137,10,FALSE))</f>
        <v/>
      </c>
      <c r="B220" s="143" t="str">
        <f>IF(C220="","",VLOOKUP('Opći dio'!$C$3,'Opći dio'!$L$6:$U$137,9,FALSE))</f>
        <v/>
      </c>
      <c r="C220" s="149"/>
      <c r="D220" s="144" t="str">
        <f t="shared" si="27"/>
        <v/>
      </c>
      <c r="E220" s="149"/>
      <c r="F220" s="144" t="str">
        <f t="shared" si="28"/>
        <v/>
      </c>
      <c r="G220" s="183"/>
      <c r="H220" s="144" t="str">
        <f t="shared" si="29"/>
        <v/>
      </c>
      <c r="I220" s="182"/>
      <c r="J220" s="182"/>
      <c r="K220" s="182"/>
      <c r="M220" s="139" t="str">
        <f t="shared" si="30"/>
        <v/>
      </c>
      <c r="N220" s="139" t="str">
        <f t="shared" si="31"/>
        <v/>
      </c>
      <c r="X220" s="139" t="s">
        <v>1177</v>
      </c>
      <c r="Y220" s="139" t="s">
        <v>1178</v>
      </c>
    </row>
    <row r="221" spans="1:25">
      <c r="A221" s="143" t="str">
        <f>IF(C221="","",VLOOKUP('Opći dio'!$C$3,'Opći dio'!$L$6:$U$137,10,FALSE))</f>
        <v/>
      </c>
      <c r="B221" s="143" t="str">
        <f>IF(C221="","",VLOOKUP('Opći dio'!$C$3,'Opći dio'!$L$6:$U$137,9,FALSE))</f>
        <v/>
      </c>
      <c r="C221" s="149"/>
      <c r="D221" s="144" t="str">
        <f t="shared" si="27"/>
        <v/>
      </c>
      <c r="E221" s="149"/>
      <c r="F221" s="144" t="str">
        <f t="shared" si="28"/>
        <v/>
      </c>
      <c r="G221" s="183"/>
      <c r="H221" s="144" t="str">
        <f t="shared" si="29"/>
        <v/>
      </c>
      <c r="I221" s="182"/>
      <c r="J221" s="182"/>
      <c r="K221" s="182"/>
      <c r="M221" s="139" t="str">
        <f t="shared" si="30"/>
        <v/>
      </c>
      <c r="N221" s="139" t="str">
        <f t="shared" si="31"/>
        <v/>
      </c>
      <c r="X221" s="139" t="s">
        <v>1179</v>
      </c>
      <c r="Y221" s="139" t="s">
        <v>1180</v>
      </c>
    </row>
    <row r="222" spans="1:25">
      <c r="A222" s="143" t="str">
        <f>IF(C222="","",VLOOKUP('Opći dio'!$C$3,'Opći dio'!$L$6:$U$137,10,FALSE))</f>
        <v/>
      </c>
      <c r="B222" s="143" t="str">
        <f>IF(C222="","",VLOOKUP('Opći dio'!$C$3,'Opći dio'!$L$6:$U$137,9,FALSE))</f>
        <v/>
      </c>
      <c r="C222" s="149"/>
      <c r="D222" s="144" t="str">
        <f t="shared" si="27"/>
        <v/>
      </c>
      <c r="E222" s="149"/>
      <c r="F222" s="144" t="str">
        <f t="shared" si="28"/>
        <v/>
      </c>
      <c r="G222" s="183"/>
      <c r="H222" s="144" t="str">
        <f t="shared" si="29"/>
        <v/>
      </c>
      <c r="I222" s="182"/>
      <c r="J222" s="182"/>
      <c r="K222" s="182"/>
      <c r="M222" s="139" t="str">
        <f t="shared" si="30"/>
        <v/>
      </c>
      <c r="N222" s="139" t="str">
        <f t="shared" si="31"/>
        <v/>
      </c>
      <c r="X222" s="139" t="s">
        <v>1181</v>
      </c>
      <c r="Y222" s="139" t="s">
        <v>1182</v>
      </c>
    </row>
    <row r="223" spans="1:25">
      <c r="A223" s="143" t="str">
        <f>IF(C223="","",VLOOKUP('Opći dio'!$C$3,'Opći dio'!$L$6:$U$137,10,FALSE))</f>
        <v/>
      </c>
      <c r="B223" s="143" t="str">
        <f>IF(C223="","",VLOOKUP('Opći dio'!$C$3,'Opći dio'!$L$6:$U$137,9,FALSE))</f>
        <v/>
      </c>
      <c r="C223" s="149"/>
      <c r="D223" s="144" t="str">
        <f t="shared" si="27"/>
        <v/>
      </c>
      <c r="E223" s="149"/>
      <c r="F223" s="144" t="str">
        <f t="shared" si="28"/>
        <v/>
      </c>
      <c r="G223" s="183"/>
      <c r="H223" s="144" t="str">
        <f t="shared" si="29"/>
        <v/>
      </c>
      <c r="I223" s="182"/>
      <c r="J223" s="182"/>
      <c r="K223" s="182"/>
      <c r="M223" s="139" t="str">
        <f t="shared" si="30"/>
        <v/>
      </c>
      <c r="N223" s="139" t="str">
        <f t="shared" si="31"/>
        <v/>
      </c>
      <c r="X223" s="139" t="s">
        <v>1183</v>
      </c>
      <c r="Y223" s="139" t="s">
        <v>1184</v>
      </c>
    </row>
    <row r="224" spans="1:25">
      <c r="A224" s="143" t="str">
        <f>IF(C224="","",VLOOKUP('Opći dio'!$C$3,'Opći dio'!$L$6:$U$137,10,FALSE))</f>
        <v/>
      </c>
      <c r="B224" s="143" t="str">
        <f>IF(C224="","",VLOOKUP('Opći dio'!$C$3,'Opći dio'!$L$6:$U$137,9,FALSE))</f>
        <v/>
      </c>
      <c r="C224" s="149"/>
      <c r="D224" s="144" t="str">
        <f t="shared" si="27"/>
        <v/>
      </c>
      <c r="E224" s="149"/>
      <c r="F224" s="144" t="str">
        <f t="shared" si="28"/>
        <v/>
      </c>
      <c r="G224" s="183"/>
      <c r="H224" s="144" t="str">
        <f t="shared" si="29"/>
        <v/>
      </c>
      <c r="I224" s="182"/>
      <c r="J224" s="182"/>
      <c r="K224" s="182"/>
      <c r="M224" s="139" t="str">
        <f t="shared" si="30"/>
        <v/>
      </c>
      <c r="N224" s="139" t="str">
        <f t="shared" si="31"/>
        <v/>
      </c>
      <c r="X224" s="139" t="s">
        <v>1185</v>
      </c>
      <c r="Y224" s="139" t="s">
        <v>1186</v>
      </c>
    </row>
    <row r="225" spans="1:25">
      <c r="A225" s="143" t="str">
        <f>IF(C225="","",VLOOKUP('Opći dio'!$C$3,'Opći dio'!$L$6:$U$137,10,FALSE))</f>
        <v/>
      </c>
      <c r="B225" s="143" t="str">
        <f>IF(C225="","",VLOOKUP('Opći dio'!$C$3,'Opći dio'!$L$6:$U$137,9,FALSE))</f>
        <v/>
      </c>
      <c r="C225" s="149"/>
      <c r="D225" s="144" t="str">
        <f t="shared" si="27"/>
        <v/>
      </c>
      <c r="E225" s="149"/>
      <c r="F225" s="144" t="str">
        <f t="shared" si="28"/>
        <v/>
      </c>
      <c r="G225" s="183"/>
      <c r="H225" s="144" t="str">
        <f t="shared" si="29"/>
        <v/>
      </c>
      <c r="I225" s="182"/>
      <c r="J225" s="182"/>
      <c r="K225" s="182"/>
      <c r="M225" s="139" t="str">
        <f t="shared" si="30"/>
        <v/>
      </c>
      <c r="N225" s="139" t="str">
        <f t="shared" si="31"/>
        <v/>
      </c>
      <c r="X225" s="139" t="s">
        <v>1187</v>
      </c>
      <c r="Y225" s="139" t="s">
        <v>1188</v>
      </c>
    </row>
    <row r="226" spans="1:25">
      <c r="A226" s="143" t="str">
        <f>IF(C226="","",VLOOKUP('Opći dio'!$C$3,'Opći dio'!$L$6:$U$137,10,FALSE))</f>
        <v/>
      </c>
      <c r="B226" s="143" t="str">
        <f>IF(C226="","",VLOOKUP('Opći dio'!$C$3,'Opći dio'!$L$6:$U$137,9,FALSE))</f>
        <v/>
      </c>
      <c r="C226" s="149"/>
      <c r="D226" s="144" t="str">
        <f t="shared" si="27"/>
        <v/>
      </c>
      <c r="E226" s="149"/>
      <c r="F226" s="144" t="str">
        <f t="shared" si="28"/>
        <v/>
      </c>
      <c r="G226" s="183"/>
      <c r="H226" s="144" t="str">
        <f t="shared" si="29"/>
        <v/>
      </c>
      <c r="I226" s="182"/>
      <c r="J226" s="182"/>
      <c r="K226" s="182"/>
      <c r="M226" s="139" t="str">
        <f t="shared" si="30"/>
        <v/>
      </c>
      <c r="N226" s="139" t="str">
        <f t="shared" si="31"/>
        <v/>
      </c>
      <c r="X226" s="139" t="s">
        <v>1189</v>
      </c>
      <c r="Y226" s="139" t="s">
        <v>1190</v>
      </c>
    </row>
    <row r="227" spans="1:25">
      <c r="A227" s="143" t="str">
        <f>IF(C227="","",VLOOKUP('Opći dio'!$C$3,'Opći dio'!$L$6:$U$137,10,FALSE))</f>
        <v/>
      </c>
      <c r="B227" s="143" t="str">
        <f>IF(C227="","",VLOOKUP('Opći dio'!$C$3,'Opći dio'!$L$6:$U$137,9,FALSE))</f>
        <v/>
      </c>
      <c r="C227" s="149"/>
      <c r="D227" s="144" t="str">
        <f t="shared" si="27"/>
        <v/>
      </c>
      <c r="E227" s="149"/>
      <c r="F227" s="144" t="str">
        <f t="shared" si="28"/>
        <v/>
      </c>
      <c r="G227" s="183"/>
      <c r="H227" s="144" t="str">
        <f t="shared" si="29"/>
        <v/>
      </c>
      <c r="I227" s="182"/>
      <c r="J227" s="182"/>
      <c r="K227" s="182"/>
      <c r="M227" s="139" t="str">
        <f t="shared" si="30"/>
        <v/>
      </c>
      <c r="N227" s="139" t="str">
        <f t="shared" si="31"/>
        <v/>
      </c>
      <c r="X227" s="139" t="s">
        <v>1191</v>
      </c>
      <c r="Y227" s="139" t="s">
        <v>1192</v>
      </c>
    </row>
    <row r="228" spans="1:25">
      <c r="A228" s="143" t="str">
        <f>IF(C228="","",VLOOKUP('Opći dio'!$C$3,'Opći dio'!$L$6:$U$137,10,FALSE))</f>
        <v/>
      </c>
      <c r="B228" s="143" t="str">
        <f>IF(C228="","",VLOOKUP('Opći dio'!$C$3,'Opći dio'!$L$6:$U$137,9,FALSE))</f>
        <v/>
      </c>
      <c r="C228" s="149"/>
      <c r="D228" s="144" t="str">
        <f t="shared" si="27"/>
        <v/>
      </c>
      <c r="E228" s="149"/>
      <c r="F228" s="144" t="str">
        <f t="shared" si="28"/>
        <v/>
      </c>
      <c r="G228" s="183"/>
      <c r="H228" s="144" t="str">
        <f t="shared" si="29"/>
        <v/>
      </c>
      <c r="I228" s="182"/>
      <c r="J228" s="182"/>
      <c r="K228" s="182"/>
      <c r="M228" s="139" t="str">
        <f t="shared" si="30"/>
        <v/>
      </c>
      <c r="N228" s="139" t="str">
        <f t="shared" si="31"/>
        <v/>
      </c>
      <c r="X228" s="139" t="s">
        <v>1193</v>
      </c>
      <c r="Y228" s="139" t="s">
        <v>1194</v>
      </c>
    </row>
    <row r="229" spans="1:25">
      <c r="A229" s="143" t="str">
        <f>IF(C229="","",VLOOKUP('Opći dio'!$C$3,'Opći dio'!$L$6:$U$137,10,FALSE))</f>
        <v/>
      </c>
      <c r="B229" s="143" t="str">
        <f>IF(C229="","",VLOOKUP('Opći dio'!$C$3,'Opći dio'!$L$6:$U$137,9,FALSE))</f>
        <v/>
      </c>
      <c r="C229" s="149"/>
      <c r="D229" s="144" t="str">
        <f t="shared" si="27"/>
        <v/>
      </c>
      <c r="E229" s="149"/>
      <c r="F229" s="144" t="str">
        <f t="shared" si="28"/>
        <v/>
      </c>
      <c r="G229" s="183"/>
      <c r="H229" s="144" t="str">
        <f t="shared" si="29"/>
        <v/>
      </c>
      <c r="I229" s="182"/>
      <c r="J229" s="182"/>
      <c r="K229" s="182"/>
      <c r="M229" s="139" t="str">
        <f t="shared" si="30"/>
        <v/>
      </c>
      <c r="N229" s="139" t="str">
        <f t="shared" si="31"/>
        <v/>
      </c>
      <c r="X229" s="139" t="s">
        <v>1195</v>
      </c>
      <c r="Y229" s="139" t="s">
        <v>1196</v>
      </c>
    </row>
    <row r="230" spans="1:25">
      <c r="A230" s="143" t="str">
        <f>IF(C230="","",VLOOKUP('Opći dio'!$C$3,'Opći dio'!$L$6:$U$137,10,FALSE))</f>
        <v/>
      </c>
      <c r="B230" s="143" t="str">
        <f>IF(C230="","",VLOOKUP('Opći dio'!$C$3,'Opći dio'!$L$6:$U$137,9,FALSE))</f>
        <v/>
      </c>
      <c r="C230" s="149"/>
      <c r="D230" s="144" t="str">
        <f t="shared" si="27"/>
        <v/>
      </c>
      <c r="E230" s="149"/>
      <c r="F230" s="144" t="str">
        <f t="shared" si="28"/>
        <v/>
      </c>
      <c r="G230" s="183"/>
      <c r="H230" s="144" t="str">
        <f t="shared" si="29"/>
        <v/>
      </c>
      <c r="I230" s="182"/>
      <c r="J230" s="182"/>
      <c r="K230" s="182"/>
      <c r="M230" s="139" t="str">
        <f t="shared" si="30"/>
        <v/>
      </c>
      <c r="N230" s="139" t="str">
        <f t="shared" si="31"/>
        <v/>
      </c>
      <c r="X230" s="139" t="s">
        <v>1865</v>
      </c>
      <c r="Y230" s="139" t="s">
        <v>1866</v>
      </c>
    </row>
    <row r="231" spans="1:25">
      <c r="A231" s="143" t="str">
        <f>IF(C231="","",VLOOKUP('Opći dio'!$C$3,'Opći dio'!$L$6:$U$137,10,FALSE))</f>
        <v/>
      </c>
      <c r="B231" s="143" t="str">
        <f>IF(C231="","",VLOOKUP('Opći dio'!$C$3,'Opći dio'!$L$6:$U$137,9,FALSE))</f>
        <v/>
      </c>
      <c r="C231" s="149"/>
      <c r="D231" s="144" t="str">
        <f t="shared" si="27"/>
        <v/>
      </c>
      <c r="E231" s="149"/>
      <c r="F231" s="144" t="str">
        <f t="shared" si="28"/>
        <v/>
      </c>
      <c r="G231" s="183"/>
      <c r="H231" s="144" t="str">
        <f t="shared" si="29"/>
        <v/>
      </c>
      <c r="I231" s="182"/>
      <c r="J231" s="182"/>
      <c r="K231" s="182"/>
      <c r="M231" s="139" t="str">
        <f t="shared" si="30"/>
        <v/>
      </c>
      <c r="N231" s="139" t="str">
        <f t="shared" si="31"/>
        <v/>
      </c>
      <c r="X231" s="139" t="s">
        <v>2186</v>
      </c>
      <c r="Y231" s="139" t="s">
        <v>2187</v>
      </c>
    </row>
    <row r="232" spans="1:25">
      <c r="A232" s="143" t="str">
        <f>IF(C232="","",VLOOKUP('Opći dio'!$C$3,'Opći dio'!$L$6:$U$137,10,FALSE))</f>
        <v/>
      </c>
      <c r="B232" s="143" t="str">
        <f>IF(C232="","",VLOOKUP('Opći dio'!$C$3,'Opći dio'!$L$6:$U$137,9,FALSE))</f>
        <v/>
      </c>
      <c r="C232" s="149"/>
      <c r="D232" s="144" t="str">
        <f t="shared" si="27"/>
        <v/>
      </c>
      <c r="E232" s="149"/>
      <c r="F232" s="144" t="str">
        <f t="shared" si="28"/>
        <v/>
      </c>
      <c r="G232" s="183"/>
      <c r="H232" s="144" t="str">
        <f t="shared" si="29"/>
        <v/>
      </c>
      <c r="I232" s="182"/>
      <c r="J232" s="182"/>
      <c r="K232" s="182"/>
      <c r="M232" s="139" t="str">
        <f t="shared" si="30"/>
        <v/>
      </c>
      <c r="N232" s="139" t="str">
        <f t="shared" si="31"/>
        <v/>
      </c>
      <c r="X232" s="139" t="s">
        <v>2188</v>
      </c>
      <c r="Y232" s="139" t="s">
        <v>2189</v>
      </c>
    </row>
    <row r="233" spans="1:25">
      <c r="A233" s="143" t="str">
        <f>IF(C233="","",VLOOKUP('Opći dio'!$C$3,'Opći dio'!$L$6:$U$137,10,FALSE))</f>
        <v/>
      </c>
      <c r="B233" s="143" t="str">
        <f>IF(C233="","",VLOOKUP('Opći dio'!$C$3,'Opći dio'!$L$6:$U$137,9,FALSE))</f>
        <v/>
      </c>
      <c r="C233" s="149"/>
      <c r="D233" s="144" t="str">
        <f t="shared" si="27"/>
        <v/>
      </c>
      <c r="E233" s="149"/>
      <c r="F233" s="144" t="str">
        <f t="shared" si="28"/>
        <v/>
      </c>
      <c r="G233" s="183"/>
      <c r="H233" s="144" t="str">
        <f t="shared" si="29"/>
        <v/>
      </c>
      <c r="I233" s="182"/>
      <c r="J233" s="182"/>
      <c r="K233" s="182"/>
      <c r="M233" s="139" t="str">
        <f t="shared" si="30"/>
        <v/>
      </c>
      <c r="N233" s="139" t="str">
        <f t="shared" si="31"/>
        <v/>
      </c>
      <c r="X233" s="139" t="s">
        <v>1197</v>
      </c>
      <c r="Y233" s="139" t="s">
        <v>1198</v>
      </c>
    </row>
    <row r="234" spans="1:25">
      <c r="A234" s="143" t="str">
        <f>IF(C234="","",VLOOKUP('Opći dio'!$C$3,'Opći dio'!$L$6:$U$137,10,FALSE))</f>
        <v/>
      </c>
      <c r="B234" s="143" t="str">
        <f>IF(C234="","",VLOOKUP('Opći dio'!$C$3,'Opći dio'!$L$6:$U$137,9,FALSE))</f>
        <v/>
      </c>
      <c r="C234" s="149"/>
      <c r="D234" s="144" t="str">
        <f t="shared" si="27"/>
        <v/>
      </c>
      <c r="E234" s="149"/>
      <c r="F234" s="144" t="str">
        <f t="shared" si="28"/>
        <v/>
      </c>
      <c r="G234" s="183"/>
      <c r="H234" s="144" t="str">
        <f t="shared" si="29"/>
        <v/>
      </c>
      <c r="I234" s="182"/>
      <c r="J234" s="182"/>
      <c r="K234" s="182"/>
      <c r="M234" s="139" t="str">
        <f t="shared" si="30"/>
        <v/>
      </c>
      <c r="N234" s="139" t="str">
        <f t="shared" si="31"/>
        <v/>
      </c>
      <c r="X234" s="139" t="s">
        <v>1199</v>
      </c>
      <c r="Y234" s="139" t="s">
        <v>1200</v>
      </c>
    </row>
    <row r="235" spans="1:25">
      <c r="A235" s="143" t="str">
        <f>IF(C235="","",VLOOKUP('Opći dio'!$C$3,'Opći dio'!$L$6:$U$137,10,FALSE))</f>
        <v/>
      </c>
      <c r="B235" s="143" t="str">
        <f>IF(C235="","",VLOOKUP('Opći dio'!$C$3,'Opći dio'!$L$6:$U$137,9,FALSE))</f>
        <v/>
      </c>
      <c r="C235" s="149"/>
      <c r="D235" s="144" t="str">
        <f t="shared" si="27"/>
        <v/>
      </c>
      <c r="E235" s="149"/>
      <c r="F235" s="144" t="str">
        <f t="shared" si="28"/>
        <v/>
      </c>
      <c r="G235" s="183"/>
      <c r="H235" s="144" t="str">
        <f t="shared" si="29"/>
        <v/>
      </c>
      <c r="I235" s="182"/>
      <c r="J235" s="182"/>
      <c r="K235" s="182"/>
      <c r="M235" s="139" t="str">
        <f t="shared" si="30"/>
        <v/>
      </c>
      <c r="N235" s="139" t="str">
        <f t="shared" si="31"/>
        <v/>
      </c>
      <c r="X235" s="139" t="s">
        <v>1201</v>
      </c>
      <c r="Y235" s="139" t="s">
        <v>787</v>
      </c>
    </row>
    <row r="236" spans="1:25">
      <c r="A236" s="143" t="str">
        <f>IF(C236="","",VLOOKUP('Opći dio'!$C$3,'Opći dio'!$L$6:$U$137,10,FALSE))</f>
        <v/>
      </c>
      <c r="B236" s="143" t="str">
        <f>IF(C236="","",VLOOKUP('Opći dio'!$C$3,'Opći dio'!$L$6:$U$137,9,FALSE))</f>
        <v/>
      </c>
      <c r="C236" s="149"/>
      <c r="D236" s="144" t="str">
        <f t="shared" si="27"/>
        <v/>
      </c>
      <c r="E236" s="149"/>
      <c r="F236" s="144" t="str">
        <f t="shared" si="28"/>
        <v/>
      </c>
      <c r="G236" s="183"/>
      <c r="H236" s="144" t="str">
        <f t="shared" si="29"/>
        <v/>
      </c>
      <c r="I236" s="182"/>
      <c r="J236" s="182"/>
      <c r="K236" s="182"/>
      <c r="M236" s="139" t="str">
        <f t="shared" si="30"/>
        <v/>
      </c>
      <c r="N236" s="139" t="str">
        <f t="shared" si="31"/>
        <v/>
      </c>
      <c r="X236" s="139" t="s">
        <v>1202</v>
      </c>
      <c r="Y236" s="139" t="s">
        <v>1203</v>
      </c>
    </row>
    <row r="237" spans="1:25">
      <c r="A237" s="143" t="str">
        <f>IF(C237="","",VLOOKUP('Opći dio'!$C$3,'Opći dio'!$L$6:$U$137,10,FALSE))</f>
        <v/>
      </c>
      <c r="B237" s="143" t="str">
        <f>IF(C237="","",VLOOKUP('Opći dio'!$C$3,'Opći dio'!$L$6:$U$137,9,FALSE))</f>
        <v/>
      </c>
      <c r="C237" s="149"/>
      <c r="D237" s="144" t="str">
        <f t="shared" si="27"/>
        <v/>
      </c>
      <c r="E237" s="149"/>
      <c r="F237" s="144" t="str">
        <f t="shared" si="28"/>
        <v/>
      </c>
      <c r="G237" s="183"/>
      <c r="H237" s="144" t="str">
        <f t="shared" si="29"/>
        <v/>
      </c>
      <c r="I237" s="182"/>
      <c r="J237" s="182"/>
      <c r="K237" s="182"/>
      <c r="M237" s="139" t="str">
        <f t="shared" si="30"/>
        <v/>
      </c>
      <c r="N237" s="139" t="str">
        <f t="shared" si="31"/>
        <v/>
      </c>
      <c r="X237" s="139" t="s">
        <v>1206</v>
      </c>
      <c r="Y237" s="139" t="s">
        <v>1207</v>
      </c>
    </row>
    <row r="238" spans="1:25">
      <c r="A238" s="143" t="str">
        <f>IF(C238="","",VLOOKUP('Opći dio'!$C$3,'Opći dio'!$L$6:$U$137,10,FALSE))</f>
        <v/>
      </c>
      <c r="B238" s="143" t="str">
        <f>IF(C238="","",VLOOKUP('Opći dio'!$C$3,'Opći dio'!$L$6:$U$137,9,FALSE))</f>
        <v/>
      </c>
      <c r="C238" s="149"/>
      <c r="D238" s="144" t="str">
        <f t="shared" si="27"/>
        <v/>
      </c>
      <c r="E238" s="149"/>
      <c r="F238" s="144" t="str">
        <f t="shared" si="28"/>
        <v/>
      </c>
      <c r="G238" s="183"/>
      <c r="H238" s="144" t="str">
        <f t="shared" si="29"/>
        <v/>
      </c>
      <c r="I238" s="182"/>
      <c r="J238" s="182"/>
      <c r="K238" s="182"/>
      <c r="M238" s="139" t="str">
        <f t="shared" si="30"/>
        <v/>
      </c>
      <c r="N238" s="139" t="str">
        <f t="shared" si="31"/>
        <v/>
      </c>
      <c r="X238" s="139" t="s">
        <v>1208</v>
      </c>
      <c r="Y238" s="139" t="s">
        <v>1867</v>
      </c>
    </row>
    <row r="239" spans="1:25">
      <c r="A239" s="143" t="str">
        <f>IF(C239="","",VLOOKUP('Opći dio'!$C$3,'Opći dio'!$L$6:$U$137,10,FALSE))</f>
        <v/>
      </c>
      <c r="B239" s="143" t="str">
        <f>IF(C239="","",VLOOKUP('Opći dio'!$C$3,'Opći dio'!$L$6:$U$137,9,FALSE))</f>
        <v/>
      </c>
      <c r="C239" s="149"/>
      <c r="D239" s="144" t="str">
        <f t="shared" si="27"/>
        <v/>
      </c>
      <c r="E239" s="149"/>
      <c r="F239" s="144" t="str">
        <f t="shared" si="28"/>
        <v/>
      </c>
      <c r="G239" s="183"/>
      <c r="H239" s="144" t="str">
        <f t="shared" si="29"/>
        <v/>
      </c>
      <c r="I239" s="182"/>
      <c r="J239" s="182"/>
      <c r="K239" s="182"/>
      <c r="M239" s="139" t="str">
        <f t="shared" si="30"/>
        <v/>
      </c>
      <c r="N239" s="139" t="str">
        <f t="shared" si="31"/>
        <v/>
      </c>
      <c r="X239" s="139" t="s">
        <v>1209</v>
      </c>
      <c r="Y239" s="139" t="s">
        <v>1210</v>
      </c>
    </row>
    <row r="240" spans="1:25">
      <c r="A240" s="143" t="str">
        <f>IF(C240="","",VLOOKUP('Opći dio'!$C$3,'Opći dio'!$L$6:$U$137,10,FALSE))</f>
        <v/>
      </c>
      <c r="B240" s="143" t="str">
        <f>IF(C240="","",VLOOKUP('Opći dio'!$C$3,'Opći dio'!$L$6:$U$137,9,FALSE))</f>
        <v/>
      </c>
      <c r="C240" s="149"/>
      <c r="D240" s="144" t="str">
        <f t="shared" si="27"/>
        <v/>
      </c>
      <c r="E240" s="149"/>
      <c r="F240" s="144" t="str">
        <f t="shared" si="28"/>
        <v/>
      </c>
      <c r="G240" s="183"/>
      <c r="H240" s="144" t="str">
        <f t="shared" si="29"/>
        <v/>
      </c>
      <c r="I240" s="182"/>
      <c r="J240" s="182"/>
      <c r="K240" s="182"/>
      <c r="M240" s="139" t="str">
        <f t="shared" si="30"/>
        <v/>
      </c>
      <c r="N240" s="139" t="str">
        <f t="shared" si="31"/>
        <v/>
      </c>
      <c r="X240" s="139" t="s">
        <v>1211</v>
      </c>
      <c r="Y240" s="139" t="s">
        <v>1212</v>
      </c>
    </row>
    <row r="241" spans="1:25">
      <c r="A241" s="143" t="str">
        <f>IF(C241="","",VLOOKUP('Opći dio'!$C$3,'Opći dio'!$L$6:$U$137,10,FALSE))</f>
        <v/>
      </c>
      <c r="B241" s="143" t="str">
        <f>IF(C241="","",VLOOKUP('Opći dio'!$C$3,'Opći dio'!$L$6:$U$137,9,FALSE))</f>
        <v/>
      </c>
      <c r="C241" s="149"/>
      <c r="D241" s="144" t="str">
        <f t="shared" si="27"/>
        <v/>
      </c>
      <c r="E241" s="149"/>
      <c r="F241" s="144" t="str">
        <f t="shared" si="28"/>
        <v/>
      </c>
      <c r="G241" s="183"/>
      <c r="H241" s="144" t="str">
        <f t="shared" si="29"/>
        <v/>
      </c>
      <c r="I241" s="182"/>
      <c r="J241" s="182"/>
      <c r="K241" s="182"/>
      <c r="M241" s="139" t="str">
        <f t="shared" si="30"/>
        <v/>
      </c>
      <c r="N241" s="139" t="str">
        <f t="shared" si="31"/>
        <v/>
      </c>
      <c r="X241" s="139" t="s">
        <v>2241</v>
      </c>
      <c r="Y241" s="139" t="s">
        <v>2242</v>
      </c>
    </row>
    <row r="242" spans="1:25">
      <c r="A242" s="143" t="str">
        <f>IF(C242="","",VLOOKUP('Opći dio'!$C$3,'Opći dio'!$L$6:$U$137,10,FALSE))</f>
        <v/>
      </c>
      <c r="B242" s="143" t="str">
        <f>IF(C242="","",VLOOKUP('Opći dio'!$C$3,'Opći dio'!$L$6:$U$137,9,FALSE))</f>
        <v/>
      </c>
      <c r="C242" s="149"/>
      <c r="D242" s="144" t="str">
        <f t="shared" si="27"/>
        <v/>
      </c>
      <c r="E242" s="149"/>
      <c r="F242" s="144" t="str">
        <f t="shared" si="28"/>
        <v/>
      </c>
      <c r="G242" s="183"/>
      <c r="H242" s="144" t="str">
        <f t="shared" si="29"/>
        <v/>
      </c>
      <c r="I242" s="182"/>
      <c r="J242" s="182"/>
      <c r="K242" s="182"/>
      <c r="M242" s="139" t="str">
        <f t="shared" si="30"/>
        <v/>
      </c>
      <c r="N242" s="139" t="str">
        <f t="shared" si="31"/>
        <v/>
      </c>
      <c r="X242" s="139" t="s">
        <v>2243</v>
      </c>
      <c r="Y242" s="139" t="s">
        <v>2244</v>
      </c>
    </row>
    <row r="243" spans="1:25">
      <c r="A243" s="143" t="str">
        <f>IF(C243="","",VLOOKUP('Opći dio'!$C$3,'Opći dio'!$L$6:$U$137,10,FALSE))</f>
        <v/>
      </c>
      <c r="B243" s="143" t="str">
        <f>IF(C243="","",VLOOKUP('Opći dio'!$C$3,'Opći dio'!$L$6:$U$137,9,FALSE))</f>
        <v/>
      </c>
      <c r="C243" s="149"/>
      <c r="D243" s="144" t="str">
        <f t="shared" si="27"/>
        <v/>
      </c>
      <c r="E243" s="149"/>
      <c r="F243" s="144" t="str">
        <f t="shared" si="28"/>
        <v/>
      </c>
      <c r="G243" s="183"/>
      <c r="H243" s="144" t="str">
        <f t="shared" si="29"/>
        <v/>
      </c>
      <c r="I243" s="182"/>
      <c r="J243" s="182"/>
      <c r="K243" s="182"/>
      <c r="M243" s="139" t="str">
        <f t="shared" si="30"/>
        <v/>
      </c>
      <c r="N243" s="139" t="str">
        <f t="shared" si="31"/>
        <v/>
      </c>
      <c r="X243" s="139" t="s">
        <v>1215</v>
      </c>
      <c r="Y243" s="139" t="s">
        <v>1216</v>
      </c>
    </row>
    <row r="244" spans="1:25">
      <c r="A244" s="143" t="str">
        <f>IF(C244="","",VLOOKUP('Opći dio'!$C$3,'Opći dio'!$L$6:$U$137,10,FALSE))</f>
        <v/>
      </c>
      <c r="B244" s="143" t="str">
        <f>IF(C244="","",VLOOKUP('Opći dio'!$C$3,'Opći dio'!$L$6:$U$137,9,FALSE))</f>
        <v/>
      </c>
      <c r="C244" s="149"/>
      <c r="D244" s="144" t="str">
        <f t="shared" si="27"/>
        <v/>
      </c>
      <c r="E244" s="149"/>
      <c r="F244" s="144" t="str">
        <f t="shared" si="28"/>
        <v/>
      </c>
      <c r="G244" s="183"/>
      <c r="H244" s="144" t="str">
        <f t="shared" si="29"/>
        <v/>
      </c>
      <c r="I244" s="182"/>
      <c r="J244" s="182"/>
      <c r="K244" s="182"/>
      <c r="M244" s="139" t="str">
        <f t="shared" si="30"/>
        <v/>
      </c>
      <c r="N244" s="139" t="str">
        <f t="shared" si="31"/>
        <v/>
      </c>
      <c r="X244" s="139" t="s">
        <v>1217</v>
      </c>
      <c r="Y244" s="139" t="s">
        <v>1218</v>
      </c>
    </row>
    <row r="245" spans="1:25">
      <c r="A245" s="143" t="str">
        <f>IF(C245="","",VLOOKUP('Opći dio'!$C$3,'Opći dio'!$L$6:$U$137,10,FALSE))</f>
        <v/>
      </c>
      <c r="B245" s="143" t="str">
        <f>IF(C245="","",VLOOKUP('Opći dio'!$C$3,'Opći dio'!$L$6:$U$137,9,FALSE))</f>
        <v/>
      </c>
      <c r="C245" s="149"/>
      <c r="D245" s="144" t="str">
        <f t="shared" si="27"/>
        <v/>
      </c>
      <c r="E245" s="149"/>
      <c r="F245" s="144" t="str">
        <f t="shared" si="28"/>
        <v/>
      </c>
      <c r="G245" s="183"/>
      <c r="H245" s="144" t="str">
        <f t="shared" si="29"/>
        <v/>
      </c>
      <c r="I245" s="182"/>
      <c r="J245" s="182"/>
      <c r="K245" s="182"/>
      <c r="M245" s="139" t="str">
        <f t="shared" si="30"/>
        <v/>
      </c>
      <c r="N245" s="139" t="str">
        <f t="shared" si="31"/>
        <v/>
      </c>
      <c r="X245" s="139" t="s">
        <v>1219</v>
      </c>
      <c r="Y245" s="139" t="s">
        <v>1220</v>
      </c>
    </row>
    <row r="246" spans="1:25">
      <c r="A246" s="143" t="str">
        <f>IF(C246="","",VLOOKUP('Opći dio'!$C$3,'Opći dio'!$L$6:$U$137,10,FALSE))</f>
        <v/>
      </c>
      <c r="B246" s="143" t="str">
        <f>IF(C246="","",VLOOKUP('Opći dio'!$C$3,'Opći dio'!$L$6:$U$137,9,FALSE))</f>
        <v/>
      </c>
      <c r="C246" s="149"/>
      <c r="D246" s="144" t="str">
        <f t="shared" si="27"/>
        <v/>
      </c>
      <c r="E246" s="149"/>
      <c r="F246" s="144" t="str">
        <f t="shared" si="28"/>
        <v/>
      </c>
      <c r="G246" s="183"/>
      <c r="H246" s="144" t="str">
        <f t="shared" si="29"/>
        <v/>
      </c>
      <c r="I246" s="182"/>
      <c r="J246" s="182"/>
      <c r="K246" s="182"/>
      <c r="M246" s="139" t="str">
        <f t="shared" si="30"/>
        <v/>
      </c>
      <c r="N246" s="139" t="str">
        <f t="shared" si="31"/>
        <v/>
      </c>
      <c r="X246" s="139" t="s">
        <v>1221</v>
      </c>
      <c r="Y246" s="139" t="s">
        <v>1222</v>
      </c>
    </row>
    <row r="247" spans="1:25">
      <c r="A247" s="143" t="str">
        <f>IF(C247="","",VLOOKUP('Opći dio'!$C$3,'Opći dio'!$L$6:$U$137,10,FALSE))</f>
        <v/>
      </c>
      <c r="B247" s="143" t="str">
        <f>IF(C247="","",VLOOKUP('Opći dio'!$C$3,'Opći dio'!$L$6:$U$137,9,FALSE))</f>
        <v/>
      </c>
      <c r="C247" s="149"/>
      <c r="D247" s="144" t="str">
        <f t="shared" si="27"/>
        <v/>
      </c>
      <c r="E247" s="149"/>
      <c r="F247" s="144" t="str">
        <f t="shared" si="28"/>
        <v/>
      </c>
      <c r="G247" s="183"/>
      <c r="H247" s="144" t="str">
        <f t="shared" si="29"/>
        <v/>
      </c>
      <c r="I247" s="182"/>
      <c r="J247" s="182"/>
      <c r="K247" s="182"/>
      <c r="M247" s="139" t="str">
        <f t="shared" si="30"/>
        <v/>
      </c>
      <c r="N247" s="139" t="str">
        <f t="shared" si="31"/>
        <v/>
      </c>
      <c r="X247" s="139" t="s">
        <v>1223</v>
      </c>
      <c r="Y247" s="139" t="s">
        <v>1224</v>
      </c>
    </row>
    <row r="248" spans="1:25">
      <c r="A248" s="143" t="str">
        <f>IF(C248="","",VLOOKUP('Opći dio'!$C$3,'Opći dio'!$L$6:$U$137,10,FALSE))</f>
        <v/>
      </c>
      <c r="B248" s="143" t="str">
        <f>IF(C248="","",VLOOKUP('Opći dio'!$C$3,'Opći dio'!$L$6:$U$137,9,FALSE))</f>
        <v/>
      </c>
      <c r="C248" s="149"/>
      <c r="D248" s="144" t="str">
        <f t="shared" si="27"/>
        <v/>
      </c>
      <c r="E248" s="149"/>
      <c r="F248" s="144" t="str">
        <f t="shared" si="28"/>
        <v/>
      </c>
      <c r="G248" s="183"/>
      <c r="H248" s="144" t="str">
        <f t="shared" si="29"/>
        <v/>
      </c>
      <c r="I248" s="182"/>
      <c r="J248" s="182"/>
      <c r="K248" s="182"/>
      <c r="M248" s="139" t="str">
        <f t="shared" si="30"/>
        <v/>
      </c>
      <c r="N248" s="139" t="str">
        <f t="shared" si="31"/>
        <v/>
      </c>
      <c r="X248" s="139" t="s">
        <v>1225</v>
      </c>
      <c r="Y248" s="139" t="s">
        <v>1226</v>
      </c>
    </row>
    <row r="249" spans="1:25">
      <c r="A249" s="143" t="str">
        <f>IF(C249="","",VLOOKUP('Opći dio'!$C$3,'Opći dio'!$L$6:$U$137,10,FALSE))</f>
        <v/>
      </c>
      <c r="B249" s="143" t="str">
        <f>IF(C249="","",VLOOKUP('Opći dio'!$C$3,'Opći dio'!$L$6:$U$137,9,FALSE))</f>
        <v/>
      </c>
      <c r="C249" s="149"/>
      <c r="D249" s="144" t="str">
        <f t="shared" si="27"/>
        <v/>
      </c>
      <c r="E249" s="149"/>
      <c r="F249" s="144" t="str">
        <f t="shared" si="28"/>
        <v/>
      </c>
      <c r="G249" s="183"/>
      <c r="H249" s="144" t="str">
        <f t="shared" si="29"/>
        <v/>
      </c>
      <c r="I249" s="182"/>
      <c r="J249" s="182"/>
      <c r="K249" s="182"/>
      <c r="M249" s="139" t="str">
        <f t="shared" si="30"/>
        <v/>
      </c>
      <c r="N249" s="139" t="str">
        <f t="shared" si="31"/>
        <v/>
      </c>
      <c r="X249" s="139" t="s">
        <v>1227</v>
      </c>
      <c r="Y249" s="139" t="s">
        <v>1228</v>
      </c>
    </row>
    <row r="250" spans="1:25">
      <c r="A250" s="143" t="str">
        <f>IF(C250="","",VLOOKUP('Opći dio'!$C$3,'Opći dio'!$L$6:$U$137,10,FALSE))</f>
        <v/>
      </c>
      <c r="B250" s="143" t="str">
        <f>IF(C250="","",VLOOKUP('Opći dio'!$C$3,'Opći dio'!$L$6:$U$137,9,FALSE))</f>
        <v/>
      </c>
      <c r="C250" s="149"/>
      <c r="D250" s="144" t="str">
        <f t="shared" si="27"/>
        <v/>
      </c>
      <c r="E250" s="149"/>
      <c r="F250" s="144" t="str">
        <f t="shared" si="28"/>
        <v/>
      </c>
      <c r="G250" s="183"/>
      <c r="H250" s="144" t="str">
        <f t="shared" si="29"/>
        <v/>
      </c>
      <c r="I250" s="182"/>
      <c r="J250" s="182"/>
      <c r="K250" s="182"/>
      <c r="M250" s="139" t="str">
        <f t="shared" si="30"/>
        <v/>
      </c>
      <c r="N250" s="139" t="str">
        <f t="shared" si="31"/>
        <v/>
      </c>
      <c r="X250" s="139" t="s">
        <v>1229</v>
      </c>
      <c r="Y250" s="139" t="s">
        <v>1230</v>
      </c>
    </row>
    <row r="251" spans="1:25">
      <c r="A251" s="143" t="str">
        <f>IF(C251="","",VLOOKUP('Opći dio'!$C$3,'Opći dio'!$L$6:$U$137,10,FALSE))</f>
        <v/>
      </c>
      <c r="B251" s="143" t="str">
        <f>IF(C251="","",VLOOKUP('Opći dio'!$C$3,'Opći dio'!$L$6:$U$137,9,FALSE))</f>
        <v/>
      </c>
      <c r="C251" s="149"/>
      <c r="D251" s="144" t="str">
        <f t="shared" si="27"/>
        <v/>
      </c>
      <c r="E251" s="149"/>
      <c r="F251" s="144" t="str">
        <f t="shared" si="28"/>
        <v/>
      </c>
      <c r="G251" s="183"/>
      <c r="H251" s="144" t="str">
        <f t="shared" si="29"/>
        <v/>
      </c>
      <c r="I251" s="182"/>
      <c r="J251" s="182"/>
      <c r="K251" s="182"/>
      <c r="M251" s="139" t="str">
        <f t="shared" si="30"/>
        <v/>
      </c>
      <c r="N251" s="139" t="str">
        <f t="shared" si="31"/>
        <v/>
      </c>
      <c r="X251" s="139" t="s">
        <v>1231</v>
      </c>
      <c r="Y251" s="139" t="s">
        <v>1232</v>
      </c>
    </row>
    <row r="252" spans="1:25">
      <c r="A252" s="143" t="str">
        <f>IF(C252="","",VLOOKUP('Opći dio'!$C$3,'Opći dio'!$L$6:$U$137,10,FALSE))</f>
        <v/>
      </c>
      <c r="B252" s="143" t="str">
        <f>IF(C252="","",VLOOKUP('Opći dio'!$C$3,'Opći dio'!$L$6:$U$137,9,FALSE))</f>
        <v/>
      </c>
      <c r="C252" s="149"/>
      <c r="D252" s="144" t="str">
        <f t="shared" si="27"/>
        <v/>
      </c>
      <c r="E252" s="149"/>
      <c r="F252" s="144" t="str">
        <f t="shared" si="28"/>
        <v/>
      </c>
      <c r="G252" s="183"/>
      <c r="H252" s="144" t="str">
        <f t="shared" si="29"/>
        <v/>
      </c>
      <c r="I252" s="182"/>
      <c r="J252" s="182"/>
      <c r="K252" s="182"/>
      <c r="M252" s="139" t="str">
        <f t="shared" si="30"/>
        <v/>
      </c>
      <c r="N252" s="139" t="str">
        <f t="shared" si="31"/>
        <v/>
      </c>
      <c r="X252" s="139" t="s">
        <v>1233</v>
      </c>
      <c r="Y252" s="139" t="s">
        <v>1234</v>
      </c>
    </row>
    <row r="253" spans="1:25">
      <c r="A253" s="143" t="str">
        <f>IF(C253="","",VLOOKUP('Opći dio'!$C$3,'Opći dio'!$L$6:$U$137,10,FALSE))</f>
        <v/>
      </c>
      <c r="B253" s="143" t="str">
        <f>IF(C253="","",VLOOKUP('Opći dio'!$C$3,'Opći dio'!$L$6:$U$137,9,FALSE))</f>
        <v/>
      </c>
      <c r="C253" s="149"/>
      <c r="D253" s="144" t="str">
        <f t="shared" si="27"/>
        <v/>
      </c>
      <c r="E253" s="149"/>
      <c r="F253" s="144" t="str">
        <f t="shared" si="28"/>
        <v/>
      </c>
      <c r="G253" s="183"/>
      <c r="H253" s="144" t="str">
        <f t="shared" si="29"/>
        <v/>
      </c>
      <c r="I253" s="182"/>
      <c r="J253" s="182"/>
      <c r="K253" s="182"/>
      <c r="M253" s="139" t="str">
        <f t="shared" si="30"/>
        <v/>
      </c>
      <c r="N253" s="139" t="str">
        <f t="shared" si="31"/>
        <v/>
      </c>
      <c r="X253" s="139" t="s">
        <v>1235</v>
      </c>
      <c r="Y253" s="139" t="s">
        <v>1868</v>
      </c>
    </row>
    <row r="254" spans="1:25">
      <c r="A254" s="143" t="str">
        <f>IF(C254="","",VLOOKUP('Opći dio'!$C$3,'Opći dio'!$L$6:$U$137,10,FALSE))</f>
        <v/>
      </c>
      <c r="B254" s="143" t="str">
        <f>IF(C254="","",VLOOKUP('Opći dio'!$C$3,'Opći dio'!$L$6:$U$137,9,FALSE))</f>
        <v/>
      </c>
      <c r="C254" s="149"/>
      <c r="D254" s="144" t="str">
        <f t="shared" si="27"/>
        <v/>
      </c>
      <c r="E254" s="149"/>
      <c r="F254" s="144" t="str">
        <f t="shared" si="28"/>
        <v/>
      </c>
      <c r="G254" s="183"/>
      <c r="H254" s="144" t="str">
        <f t="shared" si="29"/>
        <v/>
      </c>
      <c r="I254" s="182"/>
      <c r="J254" s="182"/>
      <c r="K254" s="182"/>
      <c r="M254" s="139" t="str">
        <f t="shared" si="30"/>
        <v/>
      </c>
      <c r="N254" s="139" t="str">
        <f t="shared" si="31"/>
        <v/>
      </c>
      <c r="X254" s="139" t="s">
        <v>1236</v>
      </c>
      <c r="Y254" s="139" t="s">
        <v>1869</v>
      </c>
    </row>
    <row r="255" spans="1:25">
      <c r="A255" s="143" t="str">
        <f>IF(C255="","",VLOOKUP('Opći dio'!$C$3,'Opći dio'!$L$6:$U$137,10,FALSE))</f>
        <v/>
      </c>
      <c r="B255" s="143" t="str">
        <f>IF(C255="","",VLOOKUP('Opći dio'!$C$3,'Opći dio'!$L$6:$U$137,9,FALSE))</f>
        <v/>
      </c>
      <c r="C255" s="149"/>
      <c r="D255" s="144" t="str">
        <f t="shared" si="27"/>
        <v/>
      </c>
      <c r="E255" s="149"/>
      <c r="F255" s="144" t="str">
        <f t="shared" si="28"/>
        <v/>
      </c>
      <c r="G255" s="183"/>
      <c r="H255" s="144" t="str">
        <f t="shared" si="29"/>
        <v/>
      </c>
      <c r="I255" s="182"/>
      <c r="J255" s="182"/>
      <c r="K255" s="182"/>
      <c r="M255" s="139" t="str">
        <f t="shared" si="30"/>
        <v/>
      </c>
      <c r="N255" s="139" t="str">
        <f t="shared" si="31"/>
        <v/>
      </c>
      <c r="X255" s="139" t="s">
        <v>1237</v>
      </c>
      <c r="Y255" s="139" t="s">
        <v>1870</v>
      </c>
    </row>
    <row r="256" spans="1:25">
      <c r="A256" s="143" t="str">
        <f>IF(C256="","",VLOOKUP('Opći dio'!$C$3,'Opći dio'!$L$6:$U$137,10,FALSE))</f>
        <v/>
      </c>
      <c r="B256" s="143" t="str">
        <f>IF(C256="","",VLOOKUP('Opći dio'!$C$3,'Opći dio'!$L$6:$U$137,9,FALSE))</f>
        <v/>
      </c>
      <c r="C256" s="149"/>
      <c r="D256" s="144" t="str">
        <f t="shared" si="27"/>
        <v/>
      </c>
      <c r="E256" s="149"/>
      <c r="F256" s="144" t="str">
        <f t="shared" si="28"/>
        <v/>
      </c>
      <c r="G256" s="183"/>
      <c r="H256" s="144" t="str">
        <f t="shared" si="29"/>
        <v/>
      </c>
      <c r="I256" s="182"/>
      <c r="J256" s="182"/>
      <c r="K256" s="182"/>
      <c r="M256" s="139" t="str">
        <f t="shared" si="30"/>
        <v/>
      </c>
      <c r="N256" s="139" t="str">
        <f t="shared" si="31"/>
        <v/>
      </c>
      <c r="X256" s="139" t="s">
        <v>1238</v>
      </c>
      <c r="Y256" s="139" t="s">
        <v>1239</v>
      </c>
    </row>
    <row r="257" spans="1:25">
      <c r="A257" s="143" t="str">
        <f>IF(C257="","",VLOOKUP('Opći dio'!$C$3,'Opći dio'!$L$6:$U$137,10,FALSE))</f>
        <v/>
      </c>
      <c r="B257" s="143" t="str">
        <f>IF(C257="","",VLOOKUP('Opći dio'!$C$3,'Opći dio'!$L$6:$U$137,9,FALSE))</f>
        <v/>
      </c>
      <c r="C257" s="149"/>
      <c r="D257" s="144" t="str">
        <f t="shared" si="27"/>
        <v/>
      </c>
      <c r="E257" s="149"/>
      <c r="F257" s="144" t="str">
        <f t="shared" si="28"/>
        <v/>
      </c>
      <c r="G257" s="183"/>
      <c r="H257" s="144" t="str">
        <f t="shared" si="29"/>
        <v/>
      </c>
      <c r="I257" s="182"/>
      <c r="J257" s="182"/>
      <c r="K257" s="182"/>
      <c r="M257" s="139" t="str">
        <f t="shared" si="30"/>
        <v/>
      </c>
      <c r="N257" s="139" t="str">
        <f t="shared" si="31"/>
        <v/>
      </c>
      <c r="X257" s="139" t="s">
        <v>1240</v>
      </c>
      <c r="Y257" s="139" t="s">
        <v>1871</v>
      </c>
    </row>
    <row r="258" spans="1:25">
      <c r="A258" s="143" t="str">
        <f>IF(C258="","",VLOOKUP('Opći dio'!$C$3,'Opći dio'!$L$6:$U$137,10,FALSE))</f>
        <v/>
      </c>
      <c r="B258" s="143" t="str">
        <f>IF(C258="","",VLOOKUP('Opći dio'!$C$3,'Opći dio'!$L$6:$U$137,9,FALSE))</f>
        <v/>
      </c>
      <c r="C258" s="149"/>
      <c r="D258" s="144" t="str">
        <f t="shared" si="27"/>
        <v/>
      </c>
      <c r="E258" s="149"/>
      <c r="F258" s="144" t="str">
        <f t="shared" si="28"/>
        <v/>
      </c>
      <c r="G258" s="183"/>
      <c r="H258" s="144" t="str">
        <f t="shared" si="29"/>
        <v/>
      </c>
      <c r="I258" s="182"/>
      <c r="J258" s="182"/>
      <c r="K258" s="182"/>
      <c r="M258" s="139" t="str">
        <f t="shared" si="30"/>
        <v/>
      </c>
      <c r="N258" s="139" t="str">
        <f t="shared" si="31"/>
        <v/>
      </c>
      <c r="X258" s="139" t="s">
        <v>1241</v>
      </c>
      <c r="Y258" s="139" t="s">
        <v>1872</v>
      </c>
    </row>
    <row r="259" spans="1:25">
      <c r="A259" s="143" t="str">
        <f>IF(C259="","",VLOOKUP('Opći dio'!$C$3,'Opći dio'!$L$6:$U$137,10,FALSE))</f>
        <v/>
      </c>
      <c r="B259" s="143" t="str">
        <f>IF(C259="","",VLOOKUP('Opći dio'!$C$3,'Opći dio'!$L$6:$U$137,9,FALSE))</f>
        <v/>
      </c>
      <c r="C259" s="149"/>
      <c r="D259" s="144" t="str">
        <f t="shared" si="27"/>
        <v/>
      </c>
      <c r="E259" s="149"/>
      <c r="F259" s="144" t="str">
        <f t="shared" si="28"/>
        <v/>
      </c>
      <c r="G259" s="183"/>
      <c r="H259" s="144" t="str">
        <f t="shared" si="29"/>
        <v/>
      </c>
      <c r="I259" s="182"/>
      <c r="J259" s="182"/>
      <c r="K259" s="182"/>
      <c r="M259" s="139" t="str">
        <f t="shared" si="30"/>
        <v/>
      </c>
      <c r="N259" s="139" t="str">
        <f t="shared" si="31"/>
        <v/>
      </c>
      <c r="X259" s="139" t="s">
        <v>1242</v>
      </c>
      <c r="Y259" s="139" t="s">
        <v>1243</v>
      </c>
    </row>
    <row r="260" spans="1:25">
      <c r="A260" s="143" t="str">
        <f>IF(C260="","",VLOOKUP('Opći dio'!$C$3,'Opći dio'!$L$6:$U$137,10,FALSE))</f>
        <v/>
      </c>
      <c r="B260" s="143" t="str">
        <f>IF(C260="","",VLOOKUP('Opći dio'!$C$3,'Opći dio'!$L$6:$U$137,9,FALSE))</f>
        <v/>
      </c>
      <c r="C260" s="149"/>
      <c r="D260" s="144" t="str">
        <f t="shared" ref="D260:D323" si="32">IFERROR(VLOOKUP(C260,$O$6:$P$23,2,FALSE),"")</f>
        <v/>
      </c>
      <c r="E260" s="149"/>
      <c r="F260" s="144" t="str">
        <f t="shared" ref="F260:F323" si="33">IFERROR(VLOOKUP(E260,$R$5:$T$129,2,FALSE),"")</f>
        <v/>
      </c>
      <c r="G260" s="183"/>
      <c r="H260" s="144" t="str">
        <f t="shared" ref="H260:H323" si="34">IFERROR(VLOOKUP(G260,$X$6:$Y$297,2,FALSE),"")</f>
        <v/>
      </c>
      <c r="I260" s="182"/>
      <c r="J260" s="182"/>
      <c r="K260" s="182"/>
      <c r="M260" s="139" t="str">
        <f t="shared" ref="M260:M323" si="35">LEFT(E260,3)</f>
        <v/>
      </c>
      <c r="N260" s="139" t="str">
        <f t="shared" ref="N260:N323" si="36">LEFT(E260,2)</f>
        <v/>
      </c>
      <c r="X260" s="139" t="s">
        <v>1244</v>
      </c>
      <c r="Y260" s="139" t="s">
        <v>1245</v>
      </c>
    </row>
    <row r="261" spans="1:25">
      <c r="A261" s="143" t="str">
        <f>IF(C261="","",VLOOKUP('Opći dio'!$C$3,'Opći dio'!$L$6:$U$137,10,FALSE))</f>
        <v/>
      </c>
      <c r="B261" s="143" t="str">
        <f>IF(C261="","",VLOOKUP('Opći dio'!$C$3,'Opći dio'!$L$6:$U$137,9,FALSE))</f>
        <v/>
      </c>
      <c r="C261" s="149"/>
      <c r="D261" s="144" t="str">
        <f t="shared" si="32"/>
        <v/>
      </c>
      <c r="E261" s="149"/>
      <c r="F261" s="144" t="str">
        <f t="shared" si="33"/>
        <v/>
      </c>
      <c r="G261" s="183"/>
      <c r="H261" s="144" t="str">
        <f t="shared" si="34"/>
        <v/>
      </c>
      <c r="I261" s="182"/>
      <c r="J261" s="182"/>
      <c r="K261" s="182"/>
      <c r="M261" s="139" t="str">
        <f t="shared" si="35"/>
        <v/>
      </c>
      <c r="N261" s="139" t="str">
        <f t="shared" si="36"/>
        <v/>
      </c>
      <c r="X261" s="139" t="s">
        <v>2174</v>
      </c>
      <c r="Y261" s="139" t="s">
        <v>2175</v>
      </c>
    </row>
    <row r="262" spans="1:25">
      <c r="A262" s="143" t="str">
        <f>IF(C262="","",VLOOKUP('Opći dio'!$C$3,'Opći dio'!$L$6:$U$137,10,FALSE))</f>
        <v/>
      </c>
      <c r="B262" s="143" t="str">
        <f>IF(C262="","",VLOOKUP('Opći dio'!$C$3,'Opći dio'!$L$6:$U$137,9,FALSE))</f>
        <v/>
      </c>
      <c r="C262" s="149"/>
      <c r="D262" s="144" t="str">
        <f t="shared" si="32"/>
        <v/>
      </c>
      <c r="E262" s="149"/>
      <c r="F262" s="144" t="str">
        <f t="shared" si="33"/>
        <v/>
      </c>
      <c r="G262" s="183"/>
      <c r="H262" s="144" t="str">
        <f t="shared" si="34"/>
        <v/>
      </c>
      <c r="I262" s="182"/>
      <c r="J262" s="182"/>
      <c r="K262" s="182"/>
      <c r="M262" s="139" t="str">
        <f t="shared" si="35"/>
        <v/>
      </c>
      <c r="N262" s="139" t="str">
        <f t="shared" si="36"/>
        <v/>
      </c>
      <c r="X262" s="139" t="s">
        <v>2176</v>
      </c>
      <c r="Y262" s="139" t="s">
        <v>2177</v>
      </c>
    </row>
    <row r="263" spans="1:25">
      <c r="A263" s="143" t="str">
        <f>IF(C263="","",VLOOKUP('Opći dio'!$C$3,'Opći dio'!$L$6:$U$137,10,FALSE))</f>
        <v/>
      </c>
      <c r="B263" s="143" t="str">
        <f>IF(C263="","",VLOOKUP('Opći dio'!$C$3,'Opći dio'!$L$6:$U$137,9,FALSE))</f>
        <v/>
      </c>
      <c r="C263" s="149"/>
      <c r="D263" s="144" t="str">
        <f t="shared" si="32"/>
        <v/>
      </c>
      <c r="E263" s="149"/>
      <c r="F263" s="144" t="str">
        <f t="shared" si="33"/>
        <v/>
      </c>
      <c r="G263" s="183"/>
      <c r="H263" s="144" t="str">
        <f t="shared" si="34"/>
        <v/>
      </c>
      <c r="I263" s="182"/>
      <c r="J263" s="182"/>
      <c r="K263" s="182"/>
      <c r="M263" s="139" t="str">
        <f t="shared" si="35"/>
        <v/>
      </c>
      <c r="N263" s="139" t="str">
        <f t="shared" si="36"/>
        <v/>
      </c>
      <c r="X263" s="139" t="s">
        <v>2178</v>
      </c>
      <c r="Y263" s="139" t="s">
        <v>2179</v>
      </c>
    </row>
    <row r="264" spans="1:25">
      <c r="A264" s="143" t="str">
        <f>IF(C264="","",VLOOKUP('Opći dio'!$C$3,'Opći dio'!$L$6:$U$137,10,FALSE))</f>
        <v/>
      </c>
      <c r="B264" s="143" t="str">
        <f>IF(C264="","",VLOOKUP('Opći dio'!$C$3,'Opći dio'!$L$6:$U$137,9,FALSE))</f>
        <v/>
      </c>
      <c r="C264" s="149"/>
      <c r="D264" s="144" t="str">
        <f t="shared" si="32"/>
        <v/>
      </c>
      <c r="E264" s="149"/>
      <c r="F264" s="144" t="str">
        <f t="shared" si="33"/>
        <v/>
      </c>
      <c r="G264" s="183"/>
      <c r="H264" s="144" t="str">
        <f t="shared" si="34"/>
        <v/>
      </c>
      <c r="I264" s="182"/>
      <c r="J264" s="182"/>
      <c r="K264" s="182"/>
      <c r="M264" s="139" t="str">
        <f t="shared" si="35"/>
        <v/>
      </c>
      <c r="N264" s="139" t="str">
        <f t="shared" si="36"/>
        <v/>
      </c>
      <c r="X264" s="139" t="s">
        <v>1248</v>
      </c>
      <c r="Y264" s="139" t="s">
        <v>1249</v>
      </c>
    </row>
    <row r="265" spans="1:25">
      <c r="A265" s="143" t="str">
        <f>IF(C265="","",VLOOKUP('Opći dio'!$C$3,'Opći dio'!$L$6:$U$137,10,FALSE))</f>
        <v/>
      </c>
      <c r="B265" s="143" t="str">
        <f>IF(C265="","",VLOOKUP('Opći dio'!$C$3,'Opći dio'!$L$6:$U$137,9,FALSE))</f>
        <v/>
      </c>
      <c r="C265" s="149"/>
      <c r="D265" s="144" t="str">
        <f t="shared" si="32"/>
        <v/>
      </c>
      <c r="E265" s="149"/>
      <c r="F265" s="144" t="str">
        <f t="shared" si="33"/>
        <v/>
      </c>
      <c r="G265" s="183"/>
      <c r="H265" s="144" t="str">
        <f t="shared" si="34"/>
        <v/>
      </c>
      <c r="I265" s="182"/>
      <c r="J265" s="182"/>
      <c r="K265" s="182"/>
      <c r="M265" s="139" t="str">
        <f t="shared" si="35"/>
        <v/>
      </c>
      <c r="N265" s="139" t="str">
        <f t="shared" si="36"/>
        <v/>
      </c>
      <c r="X265" s="139" t="s">
        <v>1250</v>
      </c>
      <c r="Y265" s="139" t="s">
        <v>1251</v>
      </c>
    </row>
    <row r="266" spans="1:25">
      <c r="A266" s="143" t="str">
        <f>IF(C266="","",VLOOKUP('Opći dio'!$C$3,'Opći dio'!$L$6:$U$137,10,FALSE))</f>
        <v/>
      </c>
      <c r="B266" s="143" t="str">
        <f>IF(C266="","",VLOOKUP('Opći dio'!$C$3,'Opći dio'!$L$6:$U$137,9,FALSE))</f>
        <v/>
      </c>
      <c r="C266" s="149"/>
      <c r="D266" s="144" t="str">
        <f t="shared" si="32"/>
        <v/>
      </c>
      <c r="E266" s="149"/>
      <c r="F266" s="144" t="str">
        <f t="shared" si="33"/>
        <v/>
      </c>
      <c r="G266" s="183"/>
      <c r="H266" s="144" t="str">
        <f t="shared" si="34"/>
        <v/>
      </c>
      <c r="I266" s="182"/>
      <c r="J266" s="182"/>
      <c r="K266" s="182"/>
      <c r="M266" s="139" t="str">
        <f t="shared" si="35"/>
        <v/>
      </c>
      <c r="N266" s="139" t="str">
        <f t="shared" si="36"/>
        <v/>
      </c>
      <c r="X266" s="139" t="s">
        <v>1252</v>
      </c>
      <c r="Y266" s="139" t="s">
        <v>1253</v>
      </c>
    </row>
    <row r="267" spans="1:25">
      <c r="A267" s="143" t="str">
        <f>IF(C267="","",VLOOKUP('Opći dio'!$C$3,'Opći dio'!$L$6:$U$137,10,FALSE))</f>
        <v/>
      </c>
      <c r="B267" s="143" t="str">
        <f>IF(C267="","",VLOOKUP('Opći dio'!$C$3,'Opći dio'!$L$6:$U$137,9,FALSE))</f>
        <v/>
      </c>
      <c r="C267" s="149"/>
      <c r="D267" s="144" t="str">
        <f t="shared" si="32"/>
        <v/>
      </c>
      <c r="E267" s="149"/>
      <c r="F267" s="144" t="str">
        <f t="shared" si="33"/>
        <v/>
      </c>
      <c r="G267" s="183"/>
      <c r="H267" s="144" t="str">
        <f t="shared" si="34"/>
        <v/>
      </c>
      <c r="I267" s="182"/>
      <c r="J267" s="182"/>
      <c r="K267" s="182"/>
      <c r="M267" s="139" t="str">
        <f t="shared" si="35"/>
        <v/>
      </c>
      <c r="N267" s="139" t="str">
        <f t="shared" si="36"/>
        <v/>
      </c>
      <c r="X267" s="139" t="s">
        <v>1254</v>
      </c>
      <c r="Y267" s="139" t="s">
        <v>1255</v>
      </c>
    </row>
    <row r="268" spans="1:25">
      <c r="A268" s="143" t="str">
        <f>IF(C268="","",VLOOKUP('Opći dio'!$C$3,'Opći dio'!$L$6:$U$137,10,FALSE))</f>
        <v/>
      </c>
      <c r="B268" s="143" t="str">
        <f>IF(C268="","",VLOOKUP('Opći dio'!$C$3,'Opći dio'!$L$6:$U$137,9,FALSE))</f>
        <v/>
      </c>
      <c r="C268" s="149"/>
      <c r="D268" s="144" t="str">
        <f t="shared" si="32"/>
        <v/>
      </c>
      <c r="E268" s="149"/>
      <c r="F268" s="144" t="str">
        <f t="shared" si="33"/>
        <v/>
      </c>
      <c r="G268" s="183"/>
      <c r="H268" s="144" t="str">
        <f t="shared" si="34"/>
        <v/>
      </c>
      <c r="I268" s="182"/>
      <c r="J268" s="182"/>
      <c r="K268" s="182"/>
      <c r="M268" s="139" t="str">
        <f t="shared" si="35"/>
        <v/>
      </c>
      <c r="N268" s="139" t="str">
        <f t="shared" si="36"/>
        <v/>
      </c>
      <c r="X268" s="139" t="s">
        <v>1256</v>
      </c>
      <c r="Y268" s="139" t="s">
        <v>1257</v>
      </c>
    </row>
    <row r="269" spans="1:25">
      <c r="A269" s="143" t="str">
        <f>IF(C269="","",VLOOKUP('Opći dio'!$C$3,'Opći dio'!$L$6:$U$137,10,FALSE))</f>
        <v/>
      </c>
      <c r="B269" s="143" t="str">
        <f>IF(C269="","",VLOOKUP('Opći dio'!$C$3,'Opći dio'!$L$6:$U$137,9,FALSE))</f>
        <v/>
      </c>
      <c r="C269" s="149"/>
      <c r="D269" s="144" t="str">
        <f t="shared" si="32"/>
        <v/>
      </c>
      <c r="E269" s="149"/>
      <c r="F269" s="144" t="str">
        <f t="shared" si="33"/>
        <v/>
      </c>
      <c r="G269" s="183"/>
      <c r="H269" s="144" t="str">
        <f t="shared" si="34"/>
        <v/>
      </c>
      <c r="I269" s="182"/>
      <c r="J269" s="182"/>
      <c r="K269" s="182"/>
      <c r="M269" s="139" t="str">
        <f t="shared" si="35"/>
        <v/>
      </c>
      <c r="N269" s="139" t="str">
        <f t="shared" si="36"/>
        <v/>
      </c>
      <c r="X269" s="139" t="s">
        <v>1258</v>
      </c>
      <c r="Y269" s="139" t="s">
        <v>1259</v>
      </c>
    </row>
    <row r="270" spans="1:25">
      <c r="A270" s="143" t="str">
        <f>IF(C270="","",VLOOKUP('Opći dio'!$C$3,'Opći dio'!$L$6:$U$137,10,FALSE))</f>
        <v/>
      </c>
      <c r="B270" s="143" t="str">
        <f>IF(C270="","",VLOOKUP('Opći dio'!$C$3,'Opći dio'!$L$6:$U$137,9,FALSE))</f>
        <v/>
      </c>
      <c r="C270" s="149"/>
      <c r="D270" s="144" t="str">
        <f t="shared" si="32"/>
        <v/>
      </c>
      <c r="E270" s="149"/>
      <c r="F270" s="144" t="str">
        <f t="shared" si="33"/>
        <v/>
      </c>
      <c r="G270" s="183"/>
      <c r="H270" s="144" t="str">
        <f t="shared" si="34"/>
        <v/>
      </c>
      <c r="I270" s="182"/>
      <c r="J270" s="182"/>
      <c r="K270" s="182"/>
      <c r="M270" s="139" t="str">
        <f t="shared" si="35"/>
        <v/>
      </c>
      <c r="N270" s="139" t="str">
        <f t="shared" si="36"/>
        <v/>
      </c>
      <c r="X270" s="139" t="s">
        <v>1260</v>
      </c>
      <c r="Y270" s="139" t="s">
        <v>1261</v>
      </c>
    </row>
    <row r="271" spans="1:25">
      <c r="A271" s="143" t="str">
        <f>IF(C271="","",VLOOKUP('Opći dio'!$C$3,'Opći dio'!$L$6:$U$137,10,FALSE))</f>
        <v/>
      </c>
      <c r="B271" s="143" t="str">
        <f>IF(C271="","",VLOOKUP('Opći dio'!$C$3,'Opći dio'!$L$6:$U$137,9,FALSE))</f>
        <v/>
      </c>
      <c r="C271" s="149"/>
      <c r="D271" s="144" t="str">
        <f t="shared" si="32"/>
        <v/>
      </c>
      <c r="E271" s="149"/>
      <c r="F271" s="144" t="str">
        <f t="shared" si="33"/>
        <v/>
      </c>
      <c r="G271" s="183"/>
      <c r="H271" s="144" t="str">
        <f t="shared" si="34"/>
        <v/>
      </c>
      <c r="I271" s="182"/>
      <c r="J271" s="182"/>
      <c r="K271" s="182"/>
      <c r="M271" s="139" t="str">
        <f t="shared" si="35"/>
        <v/>
      </c>
      <c r="N271" s="139" t="str">
        <f t="shared" si="36"/>
        <v/>
      </c>
      <c r="X271" s="139" t="s">
        <v>1262</v>
      </c>
      <c r="Y271" s="139" t="s">
        <v>1263</v>
      </c>
    </row>
    <row r="272" spans="1:25">
      <c r="A272" s="143" t="str">
        <f>IF(C272="","",VLOOKUP('Opći dio'!$C$3,'Opći dio'!$L$6:$U$137,10,FALSE))</f>
        <v/>
      </c>
      <c r="B272" s="143" t="str">
        <f>IF(C272="","",VLOOKUP('Opći dio'!$C$3,'Opći dio'!$L$6:$U$137,9,FALSE))</f>
        <v/>
      </c>
      <c r="C272" s="149"/>
      <c r="D272" s="144" t="str">
        <f t="shared" si="32"/>
        <v/>
      </c>
      <c r="E272" s="149"/>
      <c r="F272" s="144" t="str">
        <f t="shared" si="33"/>
        <v/>
      </c>
      <c r="G272" s="183"/>
      <c r="H272" s="144" t="str">
        <f t="shared" si="34"/>
        <v/>
      </c>
      <c r="I272" s="182"/>
      <c r="J272" s="182"/>
      <c r="K272" s="182"/>
      <c r="M272" s="139" t="str">
        <f t="shared" si="35"/>
        <v/>
      </c>
      <c r="N272" s="139" t="str">
        <f t="shared" si="36"/>
        <v/>
      </c>
      <c r="X272" s="139" t="s">
        <v>1264</v>
      </c>
      <c r="Y272" s="139" t="s">
        <v>1265</v>
      </c>
    </row>
    <row r="273" spans="1:25">
      <c r="A273" s="143" t="str">
        <f>IF(C273="","",VLOOKUP('Opći dio'!$C$3,'Opći dio'!$L$6:$U$137,10,FALSE))</f>
        <v/>
      </c>
      <c r="B273" s="143" t="str">
        <f>IF(C273="","",VLOOKUP('Opći dio'!$C$3,'Opći dio'!$L$6:$U$137,9,FALSE))</f>
        <v/>
      </c>
      <c r="C273" s="149"/>
      <c r="D273" s="144" t="str">
        <f t="shared" si="32"/>
        <v/>
      </c>
      <c r="E273" s="149"/>
      <c r="F273" s="144" t="str">
        <f t="shared" si="33"/>
        <v/>
      </c>
      <c r="G273" s="183"/>
      <c r="H273" s="144" t="str">
        <f t="shared" si="34"/>
        <v/>
      </c>
      <c r="I273" s="182"/>
      <c r="J273" s="182"/>
      <c r="K273" s="182"/>
      <c r="M273" s="139" t="str">
        <f t="shared" si="35"/>
        <v/>
      </c>
      <c r="N273" s="139" t="str">
        <f t="shared" si="36"/>
        <v/>
      </c>
      <c r="X273" s="139" t="s">
        <v>1266</v>
      </c>
      <c r="Y273" s="139" t="s">
        <v>1267</v>
      </c>
    </row>
    <row r="274" spans="1:25">
      <c r="A274" s="143" t="str">
        <f>IF(C274="","",VLOOKUP('Opći dio'!$C$3,'Opći dio'!$L$6:$U$137,10,FALSE))</f>
        <v/>
      </c>
      <c r="B274" s="143" t="str">
        <f>IF(C274="","",VLOOKUP('Opći dio'!$C$3,'Opći dio'!$L$6:$U$137,9,FALSE))</f>
        <v/>
      </c>
      <c r="C274" s="149"/>
      <c r="D274" s="144" t="str">
        <f t="shared" si="32"/>
        <v/>
      </c>
      <c r="E274" s="149"/>
      <c r="F274" s="144" t="str">
        <f t="shared" si="33"/>
        <v/>
      </c>
      <c r="G274" s="183"/>
      <c r="H274" s="144" t="str">
        <f t="shared" si="34"/>
        <v/>
      </c>
      <c r="I274" s="182"/>
      <c r="J274" s="182"/>
      <c r="K274" s="182"/>
      <c r="M274" s="139" t="str">
        <f t="shared" si="35"/>
        <v/>
      </c>
      <c r="N274" s="139" t="str">
        <f t="shared" si="36"/>
        <v/>
      </c>
      <c r="X274" s="139" t="s">
        <v>1268</v>
      </c>
      <c r="Y274" s="139" t="s">
        <v>1269</v>
      </c>
    </row>
    <row r="275" spans="1:25">
      <c r="A275" s="143" t="str">
        <f>IF(C275="","",VLOOKUP('Opći dio'!$C$3,'Opći dio'!$L$6:$U$137,10,FALSE))</f>
        <v/>
      </c>
      <c r="B275" s="143" t="str">
        <f>IF(C275="","",VLOOKUP('Opći dio'!$C$3,'Opći dio'!$L$6:$U$137,9,FALSE))</f>
        <v/>
      </c>
      <c r="C275" s="149"/>
      <c r="D275" s="144" t="str">
        <f t="shared" si="32"/>
        <v/>
      </c>
      <c r="E275" s="149"/>
      <c r="F275" s="144" t="str">
        <f t="shared" si="33"/>
        <v/>
      </c>
      <c r="G275" s="183"/>
      <c r="H275" s="144" t="str">
        <f t="shared" si="34"/>
        <v/>
      </c>
      <c r="I275" s="182"/>
      <c r="J275" s="182"/>
      <c r="K275" s="182"/>
      <c r="M275" s="139" t="str">
        <f t="shared" si="35"/>
        <v/>
      </c>
      <c r="N275" s="139" t="str">
        <f t="shared" si="36"/>
        <v/>
      </c>
      <c r="X275" s="139" t="s">
        <v>1270</v>
      </c>
      <c r="Y275" s="139" t="s">
        <v>1271</v>
      </c>
    </row>
    <row r="276" spans="1:25">
      <c r="A276" s="143" t="str">
        <f>IF(C276="","",VLOOKUP('Opći dio'!$C$3,'Opći dio'!$L$6:$U$137,10,FALSE))</f>
        <v/>
      </c>
      <c r="B276" s="143" t="str">
        <f>IF(C276="","",VLOOKUP('Opći dio'!$C$3,'Opći dio'!$L$6:$U$137,9,FALSE))</f>
        <v/>
      </c>
      <c r="C276" s="149"/>
      <c r="D276" s="144" t="str">
        <f t="shared" si="32"/>
        <v/>
      </c>
      <c r="E276" s="149"/>
      <c r="F276" s="144" t="str">
        <f t="shared" si="33"/>
        <v/>
      </c>
      <c r="G276" s="183"/>
      <c r="H276" s="144" t="str">
        <f t="shared" si="34"/>
        <v/>
      </c>
      <c r="I276" s="182"/>
      <c r="J276" s="182"/>
      <c r="K276" s="182"/>
      <c r="M276" s="139" t="str">
        <f t="shared" si="35"/>
        <v/>
      </c>
      <c r="N276" s="139" t="str">
        <f t="shared" si="36"/>
        <v/>
      </c>
      <c r="X276" s="139" t="s">
        <v>2180</v>
      </c>
      <c r="Y276" s="139" t="s">
        <v>2181</v>
      </c>
    </row>
    <row r="277" spans="1:25">
      <c r="A277" s="143" t="str">
        <f>IF(C277="","",VLOOKUP('Opći dio'!$C$3,'Opći dio'!$L$6:$U$137,10,FALSE))</f>
        <v/>
      </c>
      <c r="B277" s="143" t="str">
        <f>IF(C277="","",VLOOKUP('Opći dio'!$C$3,'Opći dio'!$L$6:$U$137,9,FALSE))</f>
        <v/>
      </c>
      <c r="C277" s="149"/>
      <c r="D277" s="144" t="str">
        <f t="shared" si="32"/>
        <v/>
      </c>
      <c r="E277" s="149"/>
      <c r="F277" s="144" t="str">
        <f t="shared" si="33"/>
        <v/>
      </c>
      <c r="G277" s="183"/>
      <c r="H277" s="144" t="str">
        <f t="shared" si="34"/>
        <v/>
      </c>
      <c r="I277" s="182"/>
      <c r="J277" s="182"/>
      <c r="K277" s="182"/>
      <c r="M277" s="139" t="str">
        <f t="shared" si="35"/>
        <v/>
      </c>
      <c r="N277" s="139" t="str">
        <f t="shared" si="36"/>
        <v/>
      </c>
      <c r="X277" s="139" t="s">
        <v>2182</v>
      </c>
      <c r="Y277" s="139" t="s">
        <v>2183</v>
      </c>
    </row>
    <row r="278" spans="1:25">
      <c r="A278" s="143" t="str">
        <f>IF(C278="","",VLOOKUP('Opći dio'!$C$3,'Opći dio'!$L$6:$U$137,10,FALSE))</f>
        <v/>
      </c>
      <c r="B278" s="143" t="str">
        <f>IF(C278="","",VLOOKUP('Opći dio'!$C$3,'Opći dio'!$L$6:$U$137,9,FALSE))</f>
        <v/>
      </c>
      <c r="C278" s="149"/>
      <c r="D278" s="144" t="str">
        <f t="shared" si="32"/>
        <v/>
      </c>
      <c r="E278" s="149"/>
      <c r="F278" s="144" t="str">
        <f t="shared" si="33"/>
        <v/>
      </c>
      <c r="G278" s="183"/>
      <c r="H278" s="144" t="str">
        <f t="shared" si="34"/>
        <v/>
      </c>
      <c r="I278" s="182"/>
      <c r="J278" s="182"/>
      <c r="K278" s="182"/>
      <c r="M278" s="139" t="str">
        <f t="shared" si="35"/>
        <v/>
      </c>
      <c r="N278" s="139" t="str">
        <f t="shared" si="36"/>
        <v/>
      </c>
      <c r="X278" s="139" t="s">
        <v>2184</v>
      </c>
      <c r="Y278" s="139" t="s">
        <v>2185</v>
      </c>
    </row>
    <row r="279" spans="1:25">
      <c r="A279" s="143" t="str">
        <f>IF(C279="","",VLOOKUP('Opći dio'!$C$3,'Opći dio'!$L$6:$U$137,10,FALSE))</f>
        <v/>
      </c>
      <c r="B279" s="143" t="str">
        <f>IF(C279="","",VLOOKUP('Opći dio'!$C$3,'Opći dio'!$L$6:$U$137,9,FALSE))</f>
        <v/>
      </c>
      <c r="C279" s="149"/>
      <c r="D279" s="144" t="str">
        <f t="shared" si="32"/>
        <v/>
      </c>
      <c r="E279" s="149"/>
      <c r="F279" s="144" t="str">
        <f t="shared" si="33"/>
        <v/>
      </c>
      <c r="G279" s="183"/>
      <c r="H279" s="144" t="str">
        <f t="shared" si="34"/>
        <v/>
      </c>
      <c r="I279" s="182"/>
      <c r="J279" s="182"/>
      <c r="K279" s="182"/>
      <c r="M279" s="139" t="str">
        <f t="shared" si="35"/>
        <v/>
      </c>
      <c r="N279" s="139" t="str">
        <f t="shared" si="36"/>
        <v/>
      </c>
      <c r="X279" s="139" t="s">
        <v>1273</v>
      </c>
      <c r="Y279" s="139" t="s">
        <v>1274</v>
      </c>
    </row>
    <row r="280" spans="1:25">
      <c r="A280" s="143" t="str">
        <f>IF(C280="","",VLOOKUP('Opći dio'!$C$3,'Opći dio'!$L$6:$U$137,10,FALSE))</f>
        <v/>
      </c>
      <c r="B280" s="143" t="str">
        <f>IF(C280="","",VLOOKUP('Opći dio'!$C$3,'Opći dio'!$L$6:$U$137,9,FALSE))</f>
        <v/>
      </c>
      <c r="C280" s="149"/>
      <c r="D280" s="144" t="str">
        <f t="shared" si="32"/>
        <v/>
      </c>
      <c r="E280" s="149"/>
      <c r="F280" s="144" t="str">
        <f t="shared" si="33"/>
        <v/>
      </c>
      <c r="G280" s="183"/>
      <c r="H280" s="144" t="str">
        <f t="shared" si="34"/>
        <v/>
      </c>
      <c r="I280" s="182"/>
      <c r="J280" s="182"/>
      <c r="K280" s="182"/>
      <c r="M280" s="139" t="str">
        <f t="shared" si="35"/>
        <v/>
      </c>
      <c r="N280" s="139" t="str">
        <f t="shared" si="36"/>
        <v/>
      </c>
    </row>
    <row r="281" spans="1:25">
      <c r="A281" s="143" t="str">
        <f>IF(C281="","",VLOOKUP('Opći dio'!$C$3,'Opći dio'!$L$6:$U$137,10,FALSE))</f>
        <v/>
      </c>
      <c r="B281" s="143" t="str">
        <f>IF(C281="","",VLOOKUP('Opći dio'!$C$3,'Opći dio'!$L$6:$U$137,9,FALSE))</f>
        <v/>
      </c>
      <c r="C281" s="149"/>
      <c r="D281" s="144" t="str">
        <f t="shared" si="32"/>
        <v/>
      </c>
      <c r="E281" s="149"/>
      <c r="F281" s="144" t="str">
        <f t="shared" si="33"/>
        <v/>
      </c>
      <c r="G281" s="183"/>
      <c r="H281" s="144" t="str">
        <f t="shared" si="34"/>
        <v/>
      </c>
      <c r="I281" s="182"/>
      <c r="J281" s="182"/>
      <c r="K281" s="182"/>
      <c r="M281" s="139" t="str">
        <f t="shared" si="35"/>
        <v/>
      </c>
      <c r="N281" s="139" t="str">
        <f t="shared" si="36"/>
        <v/>
      </c>
    </row>
    <row r="282" spans="1:25">
      <c r="A282" s="143" t="str">
        <f>IF(C282="","",VLOOKUP('Opći dio'!$C$3,'Opći dio'!$L$6:$U$137,10,FALSE))</f>
        <v/>
      </c>
      <c r="B282" s="143" t="str">
        <f>IF(C282="","",VLOOKUP('Opći dio'!$C$3,'Opći dio'!$L$6:$U$137,9,FALSE))</f>
        <v/>
      </c>
      <c r="C282" s="149"/>
      <c r="D282" s="144" t="str">
        <f t="shared" si="32"/>
        <v/>
      </c>
      <c r="E282" s="149"/>
      <c r="F282" s="144" t="str">
        <f t="shared" si="33"/>
        <v/>
      </c>
      <c r="G282" s="183"/>
      <c r="H282" s="144" t="str">
        <f t="shared" si="34"/>
        <v/>
      </c>
      <c r="I282" s="182"/>
      <c r="J282" s="182"/>
      <c r="K282" s="182"/>
      <c r="M282" s="139" t="str">
        <f t="shared" si="35"/>
        <v/>
      </c>
      <c r="N282" s="139" t="str">
        <f t="shared" si="36"/>
        <v/>
      </c>
    </row>
    <row r="283" spans="1:25">
      <c r="A283" s="143" t="str">
        <f>IF(C283="","",VLOOKUP('Opći dio'!$C$3,'Opći dio'!$L$6:$U$137,10,FALSE))</f>
        <v/>
      </c>
      <c r="B283" s="143" t="str">
        <f>IF(C283="","",VLOOKUP('Opći dio'!$C$3,'Opći dio'!$L$6:$U$137,9,FALSE))</f>
        <v/>
      </c>
      <c r="C283" s="149"/>
      <c r="D283" s="144" t="str">
        <f t="shared" si="32"/>
        <v/>
      </c>
      <c r="E283" s="149"/>
      <c r="F283" s="144" t="str">
        <f t="shared" si="33"/>
        <v/>
      </c>
      <c r="G283" s="183"/>
      <c r="H283" s="144" t="str">
        <f t="shared" si="34"/>
        <v/>
      </c>
      <c r="I283" s="182"/>
      <c r="J283" s="182"/>
      <c r="K283" s="182"/>
      <c r="M283" s="139" t="str">
        <f t="shared" si="35"/>
        <v/>
      </c>
      <c r="N283" s="139" t="str">
        <f t="shared" si="36"/>
        <v/>
      </c>
    </row>
    <row r="284" spans="1:25">
      <c r="A284" s="143" t="str">
        <f>IF(C284="","",VLOOKUP('Opći dio'!$C$3,'Opći dio'!$L$6:$U$137,10,FALSE))</f>
        <v/>
      </c>
      <c r="B284" s="143" t="str">
        <f>IF(C284="","",VLOOKUP('Opći dio'!$C$3,'Opći dio'!$L$6:$U$137,9,FALSE))</f>
        <v/>
      </c>
      <c r="C284" s="149"/>
      <c r="D284" s="144" t="str">
        <f t="shared" si="32"/>
        <v/>
      </c>
      <c r="E284" s="149"/>
      <c r="F284" s="144" t="str">
        <f t="shared" si="33"/>
        <v/>
      </c>
      <c r="G284" s="183"/>
      <c r="H284" s="144" t="str">
        <f t="shared" si="34"/>
        <v/>
      </c>
      <c r="I284" s="182"/>
      <c r="J284" s="182"/>
      <c r="K284" s="182"/>
      <c r="M284" s="139" t="str">
        <f t="shared" si="35"/>
        <v/>
      </c>
      <c r="N284" s="139" t="str">
        <f t="shared" si="36"/>
        <v/>
      </c>
    </row>
    <row r="285" spans="1:25">
      <c r="A285" s="143" t="str">
        <f>IF(C285="","",VLOOKUP('Opći dio'!$C$3,'Opći dio'!$L$6:$U$137,10,FALSE))</f>
        <v/>
      </c>
      <c r="B285" s="143" t="str">
        <f>IF(C285="","",VLOOKUP('Opći dio'!$C$3,'Opći dio'!$L$6:$U$137,9,FALSE))</f>
        <v/>
      </c>
      <c r="C285" s="149"/>
      <c r="D285" s="144" t="str">
        <f t="shared" si="32"/>
        <v/>
      </c>
      <c r="E285" s="149"/>
      <c r="F285" s="144" t="str">
        <f t="shared" si="33"/>
        <v/>
      </c>
      <c r="G285" s="183"/>
      <c r="H285" s="144" t="str">
        <f t="shared" si="34"/>
        <v/>
      </c>
      <c r="I285" s="182"/>
      <c r="J285" s="182"/>
      <c r="K285" s="182"/>
      <c r="M285" s="139" t="str">
        <f t="shared" si="35"/>
        <v/>
      </c>
      <c r="N285" s="139" t="str">
        <f t="shared" si="36"/>
        <v/>
      </c>
    </row>
    <row r="286" spans="1:25">
      <c r="A286" s="143" t="str">
        <f>IF(C286="","",VLOOKUP('Opći dio'!$C$3,'Opći dio'!$L$6:$U$137,10,FALSE))</f>
        <v/>
      </c>
      <c r="B286" s="143" t="str">
        <f>IF(C286="","",VLOOKUP('Opći dio'!$C$3,'Opći dio'!$L$6:$U$137,9,FALSE))</f>
        <v/>
      </c>
      <c r="C286" s="149"/>
      <c r="D286" s="144" t="str">
        <f t="shared" si="32"/>
        <v/>
      </c>
      <c r="E286" s="149"/>
      <c r="F286" s="144" t="str">
        <f t="shared" si="33"/>
        <v/>
      </c>
      <c r="G286" s="183"/>
      <c r="H286" s="144" t="str">
        <f t="shared" si="34"/>
        <v/>
      </c>
      <c r="I286" s="182"/>
      <c r="J286" s="182"/>
      <c r="K286" s="182"/>
      <c r="M286" s="139" t="str">
        <f t="shared" si="35"/>
        <v/>
      </c>
      <c r="N286" s="139" t="str">
        <f t="shared" si="36"/>
        <v/>
      </c>
    </row>
    <row r="287" spans="1:25">
      <c r="A287" s="143" t="str">
        <f>IF(C287="","",VLOOKUP('Opći dio'!$C$3,'Opći dio'!$L$6:$U$137,10,FALSE))</f>
        <v/>
      </c>
      <c r="B287" s="143" t="str">
        <f>IF(C287="","",VLOOKUP('Opći dio'!$C$3,'Opći dio'!$L$6:$U$137,9,FALSE))</f>
        <v/>
      </c>
      <c r="C287" s="149"/>
      <c r="D287" s="144" t="str">
        <f t="shared" si="32"/>
        <v/>
      </c>
      <c r="E287" s="149"/>
      <c r="F287" s="144" t="str">
        <f t="shared" si="33"/>
        <v/>
      </c>
      <c r="G287" s="183"/>
      <c r="H287" s="144" t="str">
        <f t="shared" si="34"/>
        <v/>
      </c>
      <c r="I287" s="182"/>
      <c r="J287" s="182"/>
      <c r="K287" s="182"/>
      <c r="M287" s="139" t="str">
        <f t="shared" si="35"/>
        <v/>
      </c>
      <c r="N287" s="139" t="str">
        <f t="shared" si="36"/>
        <v/>
      </c>
    </row>
    <row r="288" spans="1:25">
      <c r="A288" s="143" t="str">
        <f>IF(C288="","",VLOOKUP('Opći dio'!$C$3,'Opći dio'!$L$6:$U$137,10,FALSE))</f>
        <v/>
      </c>
      <c r="B288" s="143" t="str">
        <f>IF(C288="","",VLOOKUP('Opći dio'!$C$3,'Opći dio'!$L$6:$U$137,9,FALSE))</f>
        <v/>
      </c>
      <c r="C288" s="149"/>
      <c r="D288" s="144" t="str">
        <f t="shared" si="32"/>
        <v/>
      </c>
      <c r="E288" s="149"/>
      <c r="F288" s="144" t="str">
        <f t="shared" si="33"/>
        <v/>
      </c>
      <c r="G288" s="183"/>
      <c r="H288" s="144" t="str">
        <f t="shared" si="34"/>
        <v/>
      </c>
      <c r="I288" s="182"/>
      <c r="J288" s="182"/>
      <c r="K288" s="182"/>
      <c r="M288" s="139" t="str">
        <f t="shared" si="35"/>
        <v/>
      </c>
      <c r="N288" s="139" t="str">
        <f t="shared" si="36"/>
        <v/>
      </c>
    </row>
    <row r="289" spans="1:14">
      <c r="A289" s="143" t="str">
        <f>IF(C289="","",VLOOKUP('Opći dio'!$C$3,'Opći dio'!$L$6:$U$137,10,FALSE))</f>
        <v/>
      </c>
      <c r="B289" s="143" t="str">
        <f>IF(C289="","",VLOOKUP('Opći dio'!$C$3,'Opći dio'!$L$6:$U$137,9,FALSE))</f>
        <v/>
      </c>
      <c r="C289" s="149"/>
      <c r="D289" s="144" t="str">
        <f t="shared" si="32"/>
        <v/>
      </c>
      <c r="E289" s="149"/>
      <c r="F289" s="144" t="str">
        <f t="shared" si="33"/>
        <v/>
      </c>
      <c r="G289" s="183"/>
      <c r="H289" s="144" t="str">
        <f t="shared" si="34"/>
        <v/>
      </c>
      <c r="I289" s="182"/>
      <c r="J289" s="182"/>
      <c r="K289" s="182"/>
      <c r="M289" s="139" t="str">
        <f t="shared" si="35"/>
        <v/>
      </c>
      <c r="N289" s="139" t="str">
        <f t="shared" si="36"/>
        <v/>
      </c>
    </row>
    <row r="290" spans="1:14">
      <c r="A290" s="143" t="str">
        <f>IF(C290="","",VLOOKUP('Opći dio'!$C$3,'Opći dio'!$L$6:$U$137,10,FALSE))</f>
        <v/>
      </c>
      <c r="B290" s="143" t="str">
        <f>IF(C290="","",VLOOKUP('Opći dio'!$C$3,'Opći dio'!$L$6:$U$137,9,FALSE))</f>
        <v/>
      </c>
      <c r="C290" s="149"/>
      <c r="D290" s="144" t="str">
        <f t="shared" si="32"/>
        <v/>
      </c>
      <c r="E290" s="149"/>
      <c r="F290" s="144" t="str">
        <f t="shared" si="33"/>
        <v/>
      </c>
      <c r="G290" s="183"/>
      <c r="H290" s="144" t="str">
        <f t="shared" si="34"/>
        <v/>
      </c>
      <c r="I290" s="182"/>
      <c r="J290" s="182"/>
      <c r="K290" s="182"/>
      <c r="M290" s="139" t="str">
        <f t="shared" si="35"/>
        <v/>
      </c>
      <c r="N290" s="139" t="str">
        <f t="shared" si="36"/>
        <v/>
      </c>
    </row>
    <row r="291" spans="1:14">
      <c r="A291" s="143" t="str">
        <f>IF(C291="","",VLOOKUP('Opći dio'!$C$3,'Opći dio'!$L$6:$U$137,10,FALSE))</f>
        <v/>
      </c>
      <c r="B291" s="143" t="str">
        <f>IF(C291="","",VLOOKUP('Opći dio'!$C$3,'Opći dio'!$L$6:$U$137,9,FALSE))</f>
        <v/>
      </c>
      <c r="C291" s="149"/>
      <c r="D291" s="144" t="str">
        <f t="shared" si="32"/>
        <v/>
      </c>
      <c r="E291" s="149"/>
      <c r="F291" s="144" t="str">
        <f t="shared" si="33"/>
        <v/>
      </c>
      <c r="G291" s="183"/>
      <c r="H291" s="144" t="str">
        <f t="shared" si="34"/>
        <v/>
      </c>
      <c r="I291" s="182"/>
      <c r="J291" s="182"/>
      <c r="K291" s="182"/>
      <c r="M291" s="139" t="str">
        <f t="shared" si="35"/>
        <v/>
      </c>
      <c r="N291" s="139" t="str">
        <f t="shared" si="36"/>
        <v/>
      </c>
    </row>
    <row r="292" spans="1:14">
      <c r="A292" s="143" t="str">
        <f>IF(C292="","",VLOOKUP('Opći dio'!$C$3,'Opći dio'!$L$6:$U$137,10,FALSE))</f>
        <v/>
      </c>
      <c r="B292" s="143" t="str">
        <f>IF(C292="","",VLOOKUP('Opći dio'!$C$3,'Opći dio'!$L$6:$U$137,9,FALSE))</f>
        <v/>
      </c>
      <c r="C292" s="149"/>
      <c r="D292" s="144" t="str">
        <f t="shared" si="32"/>
        <v/>
      </c>
      <c r="E292" s="149"/>
      <c r="F292" s="144" t="str">
        <f t="shared" si="33"/>
        <v/>
      </c>
      <c r="G292" s="183"/>
      <c r="H292" s="144" t="str">
        <f t="shared" si="34"/>
        <v/>
      </c>
      <c r="I292" s="182"/>
      <c r="J292" s="182"/>
      <c r="K292" s="182"/>
      <c r="M292" s="139" t="str">
        <f t="shared" si="35"/>
        <v/>
      </c>
      <c r="N292" s="139" t="str">
        <f t="shared" si="36"/>
        <v/>
      </c>
    </row>
    <row r="293" spans="1:14">
      <c r="A293" s="143" t="str">
        <f>IF(C293="","",VLOOKUP('Opći dio'!$C$3,'Opći dio'!$L$6:$U$137,10,FALSE))</f>
        <v/>
      </c>
      <c r="B293" s="143" t="str">
        <f>IF(C293="","",VLOOKUP('Opći dio'!$C$3,'Opći dio'!$L$6:$U$137,9,FALSE))</f>
        <v/>
      </c>
      <c r="C293" s="149"/>
      <c r="D293" s="144" t="str">
        <f t="shared" si="32"/>
        <v/>
      </c>
      <c r="E293" s="149"/>
      <c r="F293" s="144" t="str">
        <f t="shared" si="33"/>
        <v/>
      </c>
      <c r="G293" s="183"/>
      <c r="H293" s="144" t="str">
        <f t="shared" si="34"/>
        <v/>
      </c>
      <c r="I293" s="182"/>
      <c r="J293" s="182"/>
      <c r="K293" s="182"/>
      <c r="M293" s="139" t="str">
        <f t="shared" si="35"/>
        <v/>
      </c>
      <c r="N293" s="139" t="str">
        <f t="shared" si="36"/>
        <v/>
      </c>
    </row>
    <row r="294" spans="1:14">
      <c r="A294" s="143" t="str">
        <f>IF(C294="","",VLOOKUP('Opći dio'!$C$3,'Opći dio'!$L$6:$U$137,10,FALSE))</f>
        <v/>
      </c>
      <c r="B294" s="143" t="str">
        <f>IF(C294="","",VLOOKUP('Opći dio'!$C$3,'Opći dio'!$L$6:$U$137,9,FALSE))</f>
        <v/>
      </c>
      <c r="C294" s="149"/>
      <c r="D294" s="144" t="str">
        <f t="shared" si="32"/>
        <v/>
      </c>
      <c r="E294" s="149"/>
      <c r="F294" s="144" t="str">
        <f t="shared" si="33"/>
        <v/>
      </c>
      <c r="G294" s="183"/>
      <c r="H294" s="144" t="str">
        <f t="shared" si="34"/>
        <v/>
      </c>
      <c r="I294" s="182"/>
      <c r="J294" s="182"/>
      <c r="K294" s="182"/>
      <c r="M294" s="139" t="str">
        <f t="shared" si="35"/>
        <v/>
      </c>
      <c r="N294" s="139" t="str">
        <f t="shared" si="36"/>
        <v/>
      </c>
    </row>
    <row r="295" spans="1:14">
      <c r="A295" s="143" t="str">
        <f>IF(C295="","",VLOOKUP('Opći dio'!$C$3,'Opći dio'!$L$6:$U$137,10,FALSE))</f>
        <v/>
      </c>
      <c r="B295" s="143" t="str">
        <f>IF(C295="","",VLOOKUP('Opći dio'!$C$3,'Opći dio'!$L$6:$U$137,9,FALSE))</f>
        <v/>
      </c>
      <c r="C295" s="149"/>
      <c r="D295" s="144" t="str">
        <f t="shared" si="32"/>
        <v/>
      </c>
      <c r="E295" s="149"/>
      <c r="F295" s="144" t="str">
        <f t="shared" si="33"/>
        <v/>
      </c>
      <c r="G295" s="183"/>
      <c r="H295" s="144" t="str">
        <f t="shared" si="34"/>
        <v/>
      </c>
      <c r="I295" s="182"/>
      <c r="J295" s="182"/>
      <c r="K295" s="182"/>
      <c r="M295" s="139" t="str">
        <f t="shared" si="35"/>
        <v/>
      </c>
      <c r="N295" s="139" t="str">
        <f t="shared" si="36"/>
        <v/>
      </c>
    </row>
    <row r="296" spans="1:14">
      <c r="A296" s="143" t="str">
        <f>IF(C296="","",VLOOKUP('Opći dio'!$C$3,'Opći dio'!$L$6:$U$137,10,FALSE))</f>
        <v/>
      </c>
      <c r="B296" s="143" t="str">
        <f>IF(C296="","",VLOOKUP('Opći dio'!$C$3,'Opći dio'!$L$6:$U$137,9,FALSE))</f>
        <v/>
      </c>
      <c r="C296" s="149"/>
      <c r="D296" s="144" t="str">
        <f t="shared" si="32"/>
        <v/>
      </c>
      <c r="E296" s="149"/>
      <c r="F296" s="144" t="str">
        <f t="shared" si="33"/>
        <v/>
      </c>
      <c r="G296" s="183"/>
      <c r="H296" s="144" t="str">
        <f t="shared" si="34"/>
        <v/>
      </c>
      <c r="I296" s="182"/>
      <c r="J296" s="182"/>
      <c r="K296" s="182"/>
      <c r="M296" s="139" t="str">
        <f t="shared" si="35"/>
        <v/>
      </c>
      <c r="N296" s="139" t="str">
        <f t="shared" si="36"/>
        <v/>
      </c>
    </row>
    <row r="297" spans="1:14">
      <c r="A297" s="143" t="str">
        <f>IF(C297="","",VLOOKUP('Opći dio'!$C$3,'Opći dio'!$L$6:$U$137,10,FALSE))</f>
        <v/>
      </c>
      <c r="B297" s="143" t="str">
        <f>IF(C297="","",VLOOKUP('Opći dio'!$C$3,'Opći dio'!$L$6:$U$137,9,FALSE))</f>
        <v/>
      </c>
      <c r="C297" s="149"/>
      <c r="D297" s="144" t="str">
        <f t="shared" si="32"/>
        <v/>
      </c>
      <c r="E297" s="149"/>
      <c r="F297" s="144" t="str">
        <f t="shared" si="33"/>
        <v/>
      </c>
      <c r="G297" s="183"/>
      <c r="H297" s="144" t="str">
        <f t="shared" si="34"/>
        <v/>
      </c>
      <c r="I297" s="182"/>
      <c r="J297" s="182"/>
      <c r="K297" s="182"/>
      <c r="M297" s="139" t="str">
        <f t="shared" si="35"/>
        <v/>
      </c>
      <c r="N297" s="139" t="str">
        <f t="shared" si="36"/>
        <v/>
      </c>
    </row>
    <row r="298" spans="1:14">
      <c r="A298" s="143" t="str">
        <f>IF(C298="","",VLOOKUP('Opći dio'!$C$3,'Opći dio'!$L$6:$U$137,10,FALSE))</f>
        <v/>
      </c>
      <c r="B298" s="143" t="str">
        <f>IF(C298="","",VLOOKUP('Opći dio'!$C$3,'Opći dio'!$L$6:$U$137,9,FALSE))</f>
        <v/>
      </c>
      <c r="C298" s="149"/>
      <c r="D298" s="144" t="str">
        <f t="shared" si="32"/>
        <v/>
      </c>
      <c r="E298" s="149"/>
      <c r="F298" s="144" t="str">
        <f t="shared" si="33"/>
        <v/>
      </c>
      <c r="G298" s="183"/>
      <c r="H298" s="144" t="str">
        <f t="shared" si="34"/>
        <v/>
      </c>
      <c r="I298" s="182"/>
      <c r="J298" s="182"/>
      <c r="K298" s="182"/>
      <c r="M298" s="139" t="str">
        <f t="shared" si="35"/>
        <v/>
      </c>
      <c r="N298" s="139" t="str">
        <f t="shared" si="36"/>
        <v/>
      </c>
    </row>
    <row r="299" spans="1:14">
      <c r="A299" s="143" t="str">
        <f>IF(C299="","",VLOOKUP('Opći dio'!$C$3,'Opći dio'!$L$6:$U$137,10,FALSE))</f>
        <v/>
      </c>
      <c r="B299" s="143" t="str">
        <f>IF(C299="","",VLOOKUP('Opći dio'!$C$3,'Opći dio'!$L$6:$U$137,9,FALSE))</f>
        <v/>
      </c>
      <c r="C299" s="149"/>
      <c r="D299" s="144" t="str">
        <f t="shared" si="32"/>
        <v/>
      </c>
      <c r="E299" s="149"/>
      <c r="F299" s="144" t="str">
        <f t="shared" si="33"/>
        <v/>
      </c>
      <c r="G299" s="183"/>
      <c r="H299" s="144" t="str">
        <f t="shared" si="34"/>
        <v/>
      </c>
      <c r="I299" s="182"/>
      <c r="J299" s="182"/>
      <c r="K299" s="182"/>
      <c r="M299" s="139" t="str">
        <f t="shared" si="35"/>
        <v/>
      </c>
      <c r="N299" s="139" t="str">
        <f t="shared" si="36"/>
        <v/>
      </c>
    </row>
    <row r="300" spans="1:14">
      <c r="A300" s="143" t="str">
        <f>IF(C300="","",VLOOKUP('Opći dio'!$C$3,'Opći dio'!$L$6:$U$137,10,FALSE))</f>
        <v/>
      </c>
      <c r="B300" s="143" t="str">
        <f>IF(C300="","",VLOOKUP('Opći dio'!$C$3,'Opći dio'!$L$6:$U$137,9,FALSE))</f>
        <v/>
      </c>
      <c r="C300" s="149"/>
      <c r="D300" s="144" t="str">
        <f t="shared" si="32"/>
        <v/>
      </c>
      <c r="E300" s="149"/>
      <c r="F300" s="144" t="str">
        <f t="shared" si="33"/>
        <v/>
      </c>
      <c r="G300" s="183"/>
      <c r="H300" s="144" t="str">
        <f t="shared" si="34"/>
        <v/>
      </c>
      <c r="I300" s="182"/>
      <c r="J300" s="182"/>
      <c r="K300" s="182"/>
      <c r="M300" s="139" t="str">
        <f t="shared" si="35"/>
        <v/>
      </c>
      <c r="N300" s="139" t="str">
        <f t="shared" si="36"/>
        <v/>
      </c>
    </row>
    <row r="301" spans="1:14">
      <c r="A301" s="143" t="str">
        <f>IF(C301="","",VLOOKUP('Opći dio'!$C$3,'Opći dio'!$L$6:$U$137,10,FALSE))</f>
        <v/>
      </c>
      <c r="B301" s="143" t="str">
        <f>IF(C301="","",VLOOKUP('Opći dio'!$C$3,'Opći dio'!$L$6:$U$137,9,FALSE))</f>
        <v/>
      </c>
      <c r="C301" s="149"/>
      <c r="D301" s="144" t="str">
        <f t="shared" si="32"/>
        <v/>
      </c>
      <c r="E301" s="149"/>
      <c r="F301" s="144" t="str">
        <f t="shared" si="33"/>
        <v/>
      </c>
      <c r="G301" s="183"/>
      <c r="H301" s="144" t="str">
        <f t="shared" si="34"/>
        <v/>
      </c>
      <c r="I301" s="182"/>
      <c r="J301" s="182"/>
      <c r="K301" s="182"/>
      <c r="M301" s="139" t="str">
        <f t="shared" si="35"/>
        <v/>
      </c>
      <c r="N301" s="139" t="str">
        <f t="shared" si="36"/>
        <v/>
      </c>
    </row>
    <row r="302" spans="1:14">
      <c r="A302" s="143" t="str">
        <f>IF(C302="","",VLOOKUP('Opći dio'!$C$3,'Opći dio'!$L$6:$U$137,10,FALSE))</f>
        <v/>
      </c>
      <c r="B302" s="143" t="str">
        <f>IF(C302="","",VLOOKUP('Opći dio'!$C$3,'Opći dio'!$L$6:$U$137,9,FALSE))</f>
        <v/>
      </c>
      <c r="C302" s="149"/>
      <c r="D302" s="144" t="str">
        <f t="shared" si="32"/>
        <v/>
      </c>
      <c r="E302" s="149"/>
      <c r="F302" s="144" t="str">
        <f t="shared" si="33"/>
        <v/>
      </c>
      <c r="G302" s="183"/>
      <c r="H302" s="144" t="str">
        <f t="shared" si="34"/>
        <v/>
      </c>
      <c r="I302" s="182"/>
      <c r="J302" s="182"/>
      <c r="K302" s="182"/>
      <c r="M302" s="139" t="str">
        <f t="shared" si="35"/>
        <v/>
      </c>
      <c r="N302" s="139" t="str">
        <f t="shared" si="36"/>
        <v/>
      </c>
    </row>
    <row r="303" spans="1:14">
      <c r="A303" s="143" t="str">
        <f>IF(C303="","",VLOOKUP('Opći dio'!$C$3,'Opći dio'!$L$6:$U$137,10,FALSE))</f>
        <v/>
      </c>
      <c r="B303" s="143" t="str">
        <f>IF(C303="","",VLOOKUP('Opći dio'!$C$3,'Opći dio'!$L$6:$U$137,9,FALSE))</f>
        <v/>
      </c>
      <c r="C303" s="149"/>
      <c r="D303" s="144" t="str">
        <f t="shared" si="32"/>
        <v/>
      </c>
      <c r="E303" s="149"/>
      <c r="F303" s="144" t="str">
        <f t="shared" si="33"/>
        <v/>
      </c>
      <c r="G303" s="183"/>
      <c r="H303" s="144" t="str">
        <f t="shared" si="34"/>
        <v/>
      </c>
      <c r="I303" s="182"/>
      <c r="J303" s="182"/>
      <c r="K303" s="182"/>
      <c r="M303" s="139" t="str">
        <f t="shared" si="35"/>
        <v/>
      </c>
      <c r="N303" s="139" t="str">
        <f t="shared" si="36"/>
        <v/>
      </c>
    </row>
    <row r="304" spans="1:14">
      <c r="A304" s="143" t="str">
        <f>IF(C304="","",VLOOKUP('Opći dio'!$C$3,'Opći dio'!$L$6:$U$137,10,FALSE))</f>
        <v/>
      </c>
      <c r="B304" s="143" t="str">
        <f>IF(C304="","",VLOOKUP('Opći dio'!$C$3,'Opći dio'!$L$6:$U$137,9,FALSE))</f>
        <v/>
      </c>
      <c r="C304" s="149"/>
      <c r="D304" s="144" t="str">
        <f t="shared" si="32"/>
        <v/>
      </c>
      <c r="E304" s="149"/>
      <c r="F304" s="144" t="str">
        <f t="shared" si="33"/>
        <v/>
      </c>
      <c r="G304" s="183"/>
      <c r="H304" s="144" t="str">
        <f t="shared" si="34"/>
        <v/>
      </c>
      <c r="I304" s="182"/>
      <c r="J304" s="182"/>
      <c r="K304" s="182"/>
      <c r="M304" s="139" t="str">
        <f t="shared" si="35"/>
        <v/>
      </c>
      <c r="N304" s="139" t="str">
        <f t="shared" si="36"/>
        <v/>
      </c>
    </row>
    <row r="305" spans="1:14">
      <c r="A305" s="143" t="str">
        <f>IF(C305="","",VLOOKUP('Opći dio'!$C$3,'Opći dio'!$L$6:$U$137,10,FALSE))</f>
        <v/>
      </c>
      <c r="B305" s="143" t="str">
        <f>IF(C305="","",VLOOKUP('Opći dio'!$C$3,'Opći dio'!$L$6:$U$137,9,FALSE))</f>
        <v/>
      </c>
      <c r="C305" s="149"/>
      <c r="D305" s="144" t="str">
        <f t="shared" si="32"/>
        <v/>
      </c>
      <c r="E305" s="149"/>
      <c r="F305" s="144" t="str">
        <f t="shared" si="33"/>
        <v/>
      </c>
      <c r="G305" s="183"/>
      <c r="H305" s="144" t="str">
        <f t="shared" si="34"/>
        <v/>
      </c>
      <c r="I305" s="182"/>
      <c r="J305" s="182"/>
      <c r="K305" s="182"/>
      <c r="M305" s="139" t="str">
        <f t="shared" si="35"/>
        <v/>
      </c>
      <c r="N305" s="139" t="str">
        <f t="shared" si="36"/>
        <v/>
      </c>
    </row>
    <row r="306" spans="1:14">
      <c r="A306" s="143" t="str">
        <f>IF(C306="","",VLOOKUP('Opći dio'!$C$3,'Opći dio'!$L$6:$U$137,10,FALSE))</f>
        <v/>
      </c>
      <c r="B306" s="143" t="str">
        <f>IF(C306="","",VLOOKUP('Opći dio'!$C$3,'Opći dio'!$L$6:$U$137,9,FALSE))</f>
        <v/>
      </c>
      <c r="C306" s="149"/>
      <c r="D306" s="144" t="str">
        <f t="shared" si="32"/>
        <v/>
      </c>
      <c r="E306" s="149"/>
      <c r="F306" s="144" t="str">
        <f t="shared" si="33"/>
        <v/>
      </c>
      <c r="G306" s="183"/>
      <c r="H306" s="144" t="str">
        <f t="shared" si="34"/>
        <v/>
      </c>
      <c r="I306" s="182"/>
      <c r="J306" s="182"/>
      <c r="K306" s="182"/>
      <c r="M306" s="139" t="str">
        <f t="shared" si="35"/>
        <v/>
      </c>
      <c r="N306" s="139" t="str">
        <f t="shared" si="36"/>
        <v/>
      </c>
    </row>
    <row r="307" spans="1:14">
      <c r="A307" s="143" t="str">
        <f>IF(C307="","",VLOOKUP('Opći dio'!$C$3,'Opći dio'!$L$6:$U$137,10,FALSE))</f>
        <v/>
      </c>
      <c r="B307" s="143" t="str">
        <f>IF(C307="","",VLOOKUP('Opći dio'!$C$3,'Opći dio'!$L$6:$U$137,9,FALSE))</f>
        <v/>
      </c>
      <c r="C307" s="149"/>
      <c r="D307" s="144" t="str">
        <f t="shared" si="32"/>
        <v/>
      </c>
      <c r="E307" s="149"/>
      <c r="F307" s="144" t="str">
        <f t="shared" si="33"/>
        <v/>
      </c>
      <c r="G307" s="183"/>
      <c r="H307" s="144" t="str">
        <f t="shared" si="34"/>
        <v/>
      </c>
      <c r="I307" s="182"/>
      <c r="J307" s="182"/>
      <c r="K307" s="182"/>
      <c r="M307" s="139" t="str">
        <f t="shared" si="35"/>
        <v/>
      </c>
      <c r="N307" s="139" t="str">
        <f t="shared" si="36"/>
        <v/>
      </c>
    </row>
    <row r="308" spans="1:14">
      <c r="A308" s="143" t="str">
        <f>IF(C308="","",VLOOKUP('Opći dio'!$C$3,'Opći dio'!$L$6:$U$137,10,FALSE))</f>
        <v/>
      </c>
      <c r="B308" s="143" t="str">
        <f>IF(C308="","",VLOOKUP('Opći dio'!$C$3,'Opći dio'!$L$6:$U$137,9,FALSE))</f>
        <v/>
      </c>
      <c r="C308" s="149"/>
      <c r="D308" s="144" t="str">
        <f t="shared" si="32"/>
        <v/>
      </c>
      <c r="E308" s="149"/>
      <c r="F308" s="144" t="str">
        <f t="shared" si="33"/>
        <v/>
      </c>
      <c r="G308" s="183"/>
      <c r="H308" s="144" t="str">
        <f t="shared" si="34"/>
        <v/>
      </c>
      <c r="I308" s="182"/>
      <c r="J308" s="182"/>
      <c r="K308" s="182"/>
      <c r="M308" s="139" t="str">
        <f t="shared" si="35"/>
        <v/>
      </c>
      <c r="N308" s="139" t="str">
        <f t="shared" si="36"/>
        <v/>
      </c>
    </row>
    <row r="309" spans="1:14">
      <c r="A309" s="143" t="str">
        <f>IF(C309="","",VLOOKUP('Opći dio'!$C$3,'Opći dio'!$L$6:$U$137,10,FALSE))</f>
        <v/>
      </c>
      <c r="B309" s="143" t="str">
        <f>IF(C309="","",VLOOKUP('Opći dio'!$C$3,'Opći dio'!$L$6:$U$137,9,FALSE))</f>
        <v/>
      </c>
      <c r="C309" s="149"/>
      <c r="D309" s="144" t="str">
        <f t="shared" si="32"/>
        <v/>
      </c>
      <c r="E309" s="149"/>
      <c r="F309" s="144" t="str">
        <f t="shared" si="33"/>
        <v/>
      </c>
      <c r="G309" s="183"/>
      <c r="H309" s="144" t="str">
        <f t="shared" si="34"/>
        <v/>
      </c>
      <c r="I309" s="182"/>
      <c r="J309" s="182"/>
      <c r="K309" s="182"/>
      <c r="M309" s="139" t="str">
        <f t="shared" si="35"/>
        <v/>
      </c>
      <c r="N309" s="139" t="str">
        <f t="shared" si="36"/>
        <v/>
      </c>
    </row>
    <row r="310" spans="1:14">
      <c r="A310" s="143" t="str">
        <f>IF(C310="","",VLOOKUP('Opći dio'!$C$3,'Opći dio'!$L$6:$U$137,10,FALSE))</f>
        <v/>
      </c>
      <c r="B310" s="143" t="str">
        <f>IF(C310="","",VLOOKUP('Opći dio'!$C$3,'Opći dio'!$L$6:$U$137,9,FALSE))</f>
        <v/>
      </c>
      <c r="C310" s="149"/>
      <c r="D310" s="144" t="str">
        <f t="shared" si="32"/>
        <v/>
      </c>
      <c r="E310" s="149"/>
      <c r="F310" s="144" t="str">
        <f t="shared" si="33"/>
        <v/>
      </c>
      <c r="G310" s="183"/>
      <c r="H310" s="144" t="str">
        <f t="shared" si="34"/>
        <v/>
      </c>
      <c r="I310" s="182"/>
      <c r="J310" s="182"/>
      <c r="K310" s="182"/>
      <c r="M310" s="139" t="str">
        <f t="shared" si="35"/>
        <v/>
      </c>
      <c r="N310" s="139" t="str">
        <f t="shared" si="36"/>
        <v/>
      </c>
    </row>
    <row r="311" spans="1:14">
      <c r="A311" s="143" t="str">
        <f>IF(C311="","",VLOOKUP('Opći dio'!$C$3,'Opći dio'!$L$6:$U$137,10,FALSE))</f>
        <v/>
      </c>
      <c r="B311" s="143" t="str">
        <f>IF(C311="","",VLOOKUP('Opći dio'!$C$3,'Opći dio'!$L$6:$U$137,9,FALSE))</f>
        <v/>
      </c>
      <c r="C311" s="149"/>
      <c r="D311" s="144" t="str">
        <f t="shared" si="32"/>
        <v/>
      </c>
      <c r="E311" s="149"/>
      <c r="F311" s="144" t="str">
        <f t="shared" si="33"/>
        <v/>
      </c>
      <c r="G311" s="183"/>
      <c r="H311" s="144" t="str">
        <f t="shared" si="34"/>
        <v/>
      </c>
      <c r="I311" s="182"/>
      <c r="J311" s="182"/>
      <c r="K311" s="182"/>
      <c r="M311" s="139" t="str">
        <f t="shared" si="35"/>
        <v/>
      </c>
      <c r="N311" s="139" t="str">
        <f t="shared" si="36"/>
        <v/>
      </c>
    </row>
    <row r="312" spans="1:14">
      <c r="A312" s="143" t="str">
        <f>IF(C312="","",VLOOKUP('Opći dio'!$C$3,'Opći dio'!$L$6:$U$137,10,FALSE))</f>
        <v/>
      </c>
      <c r="B312" s="143" t="str">
        <f>IF(C312="","",VLOOKUP('Opći dio'!$C$3,'Opći dio'!$L$6:$U$137,9,FALSE))</f>
        <v/>
      </c>
      <c r="C312" s="149"/>
      <c r="D312" s="144" t="str">
        <f t="shared" si="32"/>
        <v/>
      </c>
      <c r="E312" s="149"/>
      <c r="F312" s="144" t="str">
        <f t="shared" si="33"/>
        <v/>
      </c>
      <c r="G312" s="183"/>
      <c r="H312" s="144" t="str">
        <f t="shared" si="34"/>
        <v/>
      </c>
      <c r="I312" s="182"/>
      <c r="J312" s="182"/>
      <c r="K312" s="182"/>
      <c r="M312" s="139" t="str">
        <f t="shared" si="35"/>
        <v/>
      </c>
      <c r="N312" s="139" t="str">
        <f t="shared" si="36"/>
        <v/>
      </c>
    </row>
    <row r="313" spans="1:14">
      <c r="A313" s="143" t="str">
        <f>IF(C313="","",VLOOKUP('Opći dio'!$C$3,'Opći dio'!$L$6:$U$137,10,FALSE))</f>
        <v/>
      </c>
      <c r="B313" s="143" t="str">
        <f>IF(C313="","",VLOOKUP('Opći dio'!$C$3,'Opći dio'!$L$6:$U$137,9,FALSE))</f>
        <v/>
      </c>
      <c r="C313" s="149"/>
      <c r="D313" s="144" t="str">
        <f t="shared" si="32"/>
        <v/>
      </c>
      <c r="E313" s="149"/>
      <c r="F313" s="144" t="str">
        <f t="shared" si="33"/>
        <v/>
      </c>
      <c r="G313" s="183"/>
      <c r="H313" s="144" t="str">
        <f t="shared" si="34"/>
        <v/>
      </c>
      <c r="I313" s="182"/>
      <c r="J313" s="182"/>
      <c r="K313" s="182"/>
      <c r="M313" s="139" t="str">
        <f t="shared" si="35"/>
        <v/>
      </c>
      <c r="N313" s="139" t="str">
        <f t="shared" si="36"/>
        <v/>
      </c>
    </row>
    <row r="314" spans="1:14">
      <c r="A314" s="143" t="str">
        <f>IF(C314="","",VLOOKUP('Opći dio'!$C$3,'Opći dio'!$L$6:$U$137,10,FALSE))</f>
        <v/>
      </c>
      <c r="B314" s="143" t="str">
        <f>IF(C314="","",VLOOKUP('Opći dio'!$C$3,'Opći dio'!$L$6:$U$137,9,FALSE))</f>
        <v/>
      </c>
      <c r="C314" s="149"/>
      <c r="D314" s="144" t="str">
        <f t="shared" si="32"/>
        <v/>
      </c>
      <c r="E314" s="149"/>
      <c r="F314" s="144" t="str">
        <f t="shared" si="33"/>
        <v/>
      </c>
      <c r="G314" s="183"/>
      <c r="H314" s="144" t="str">
        <f t="shared" si="34"/>
        <v/>
      </c>
      <c r="I314" s="182"/>
      <c r="J314" s="182"/>
      <c r="K314" s="182"/>
      <c r="M314" s="139" t="str">
        <f t="shared" si="35"/>
        <v/>
      </c>
      <c r="N314" s="139" t="str">
        <f t="shared" si="36"/>
        <v/>
      </c>
    </row>
    <row r="315" spans="1:14">
      <c r="A315" s="143" t="str">
        <f>IF(C315="","",VLOOKUP('Opći dio'!$C$3,'Opći dio'!$L$6:$U$137,10,FALSE))</f>
        <v/>
      </c>
      <c r="B315" s="143" t="str">
        <f>IF(C315="","",VLOOKUP('Opći dio'!$C$3,'Opći dio'!$L$6:$U$137,9,FALSE))</f>
        <v/>
      </c>
      <c r="C315" s="149"/>
      <c r="D315" s="144" t="str">
        <f t="shared" si="32"/>
        <v/>
      </c>
      <c r="E315" s="149"/>
      <c r="F315" s="144" t="str">
        <f t="shared" si="33"/>
        <v/>
      </c>
      <c r="G315" s="183"/>
      <c r="H315" s="144" t="str">
        <f t="shared" si="34"/>
        <v/>
      </c>
      <c r="I315" s="182"/>
      <c r="J315" s="182"/>
      <c r="K315" s="182"/>
      <c r="M315" s="139" t="str">
        <f t="shared" si="35"/>
        <v/>
      </c>
      <c r="N315" s="139" t="str">
        <f t="shared" si="36"/>
        <v/>
      </c>
    </row>
    <row r="316" spans="1:14">
      <c r="A316" s="143" t="str">
        <f>IF(C316="","",VLOOKUP('Opći dio'!$C$3,'Opći dio'!$L$6:$U$137,10,FALSE))</f>
        <v/>
      </c>
      <c r="B316" s="143" t="str">
        <f>IF(C316="","",VLOOKUP('Opći dio'!$C$3,'Opći dio'!$L$6:$U$137,9,FALSE))</f>
        <v/>
      </c>
      <c r="C316" s="149"/>
      <c r="D316" s="144" t="str">
        <f t="shared" si="32"/>
        <v/>
      </c>
      <c r="E316" s="149"/>
      <c r="F316" s="144" t="str">
        <f t="shared" si="33"/>
        <v/>
      </c>
      <c r="G316" s="183"/>
      <c r="H316" s="144" t="str">
        <f t="shared" si="34"/>
        <v/>
      </c>
      <c r="I316" s="182"/>
      <c r="J316" s="182"/>
      <c r="K316" s="182"/>
      <c r="M316" s="139" t="str">
        <f t="shared" si="35"/>
        <v/>
      </c>
      <c r="N316" s="139" t="str">
        <f t="shared" si="36"/>
        <v/>
      </c>
    </row>
    <row r="317" spans="1:14">
      <c r="A317" s="143" t="str">
        <f>IF(C317="","",VLOOKUP('Opći dio'!$C$3,'Opći dio'!$L$6:$U$137,10,FALSE))</f>
        <v/>
      </c>
      <c r="B317" s="143" t="str">
        <f>IF(C317="","",VLOOKUP('Opći dio'!$C$3,'Opći dio'!$L$6:$U$137,9,FALSE))</f>
        <v/>
      </c>
      <c r="C317" s="149"/>
      <c r="D317" s="144" t="str">
        <f t="shared" si="32"/>
        <v/>
      </c>
      <c r="E317" s="149"/>
      <c r="F317" s="144" t="str">
        <f t="shared" si="33"/>
        <v/>
      </c>
      <c r="G317" s="183"/>
      <c r="H317" s="144" t="str">
        <f t="shared" si="34"/>
        <v/>
      </c>
      <c r="I317" s="182"/>
      <c r="J317" s="182"/>
      <c r="K317" s="182"/>
      <c r="M317" s="139" t="str">
        <f t="shared" si="35"/>
        <v/>
      </c>
      <c r="N317" s="139" t="str">
        <f t="shared" si="36"/>
        <v/>
      </c>
    </row>
    <row r="318" spans="1:14">
      <c r="A318" s="143" t="str">
        <f>IF(C318="","",VLOOKUP('Opći dio'!$C$3,'Opći dio'!$L$6:$U$137,10,FALSE))</f>
        <v/>
      </c>
      <c r="B318" s="143" t="str">
        <f>IF(C318="","",VLOOKUP('Opći dio'!$C$3,'Opći dio'!$L$6:$U$137,9,FALSE))</f>
        <v/>
      </c>
      <c r="C318" s="149"/>
      <c r="D318" s="144" t="str">
        <f t="shared" si="32"/>
        <v/>
      </c>
      <c r="E318" s="149"/>
      <c r="F318" s="144" t="str">
        <f t="shared" si="33"/>
        <v/>
      </c>
      <c r="G318" s="183"/>
      <c r="H318" s="144" t="str">
        <f t="shared" si="34"/>
        <v/>
      </c>
      <c r="I318" s="182"/>
      <c r="J318" s="182"/>
      <c r="K318" s="182"/>
      <c r="M318" s="139" t="str">
        <f t="shared" si="35"/>
        <v/>
      </c>
      <c r="N318" s="139" t="str">
        <f t="shared" si="36"/>
        <v/>
      </c>
    </row>
    <row r="319" spans="1:14">
      <c r="A319" s="143" t="str">
        <f>IF(C319="","",VLOOKUP('Opći dio'!$C$3,'Opći dio'!$L$6:$U$137,10,FALSE))</f>
        <v/>
      </c>
      <c r="B319" s="143" t="str">
        <f>IF(C319="","",VLOOKUP('Opći dio'!$C$3,'Opći dio'!$L$6:$U$137,9,FALSE))</f>
        <v/>
      </c>
      <c r="C319" s="149"/>
      <c r="D319" s="144" t="str">
        <f t="shared" si="32"/>
        <v/>
      </c>
      <c r="E319" s="149"/>
      <c r="F319" s="144" t="str">
        <f t="shared" si="33"/>
        <v/>
      </c>
      <c r="G319" s="183"/>
      <c r="H319" s="144" t="str">
        <f t="shared" si="34"/>
        <v/>
      </c>
      <c r="I319" s="182"/>
      <c r="J319" s="182"/>
      <c r="K319" s="182"/>
      <c r="M319" s="139" t="str">
        <f t="shared" si="35"/>
        <v/>
      </c>
      <c r="N319" s="139" t="str">
        <f t="shared" si="36"/>
        <v/>
      </c>
    </row>
    <row r="320" spans="1:14">
      <c r="A320" s="143" t="str">
        <f>IF(C320="","",VLOOKUP('Opći dio'!$C$3,'Opći dio'!$L$6:$U$137,10,FALSE))</f>
        <v/>
      </c>
      <c r="B320" s="143" t="str">
        <f>IF(C320="","",VLOOKUP('Opći dio'!$C$3,'Opći dio'!$L$6:$U$137,9,FALSE))</f>
        <v/>
      </c>
      <c r="C320" s="149"/>
      <c r="D320" s="144" t="str">
        <f t="shared" si="32"/>
        <v/>
      </c>
      <c r="E320" s="149"/>
      <c r="F320" s="144" t="str">
        <f t="shared" si="33"/>
        <v/>
      </c>
      <c r="G320" s="183"/>
      <c r="H320" s="144" t="str">
        <f t="shared" si="34"/>
        <v/>
      </c>
      <c r="I320" s="182"/>
      <c r="J320" s="182"/>
      <c r="K320" s="182"/>
      <c r="M320" s="139" t="str">
        <f t="shared" si="35"/>
        <v/>
      </c>
      <c r="N320" s="139" t="str">
        <f t="shared" si="36"/>
        <v/>
      </c>
    </row>
    <row r="321" spans="1:14">
      <c r="A321" s="143" t="str">
        <f>IF(C321="","",VLOOKUP('Opći dio'!$C$3,'Opći dio'!$L$6:$U$137,10,FALSE))</f>
        <v/>
      </c>
      <c r="B321" s="143" t="str">
        <f>IF(C321="","",VLOOKUP('Opći dio'!$C$3,'Opći dio'!$L$6:$U$137,9,FALSE))</f>
        <v/>
      </c>
      <c r="C321" s="149"/>
      <c r="D321" s="144" t="str">
        <f t="shared" si="32"/>
        <v/>
      </c>
      <c r="E321" s="149"/>
      <c r="F321" s="144" t="str">
        <f t="shared" si="33"/>
        <v/>
      </c>
      <c r="G321" s="183"/>
      <c r="H321" s="144" t="str">
        <f t="shared" si="34"/>
        <v/>
      </c>
      <c r="I321" s="182"/>
      <c r="J321" s="182"/>
      <c r="K321" s="182"/>
      <c r="M321" s="139" t="str">
        <f t="shared" si="35"/>
        <v/>
      </c>
      <c r="N321" s="139" t="str">
        <f t="shared" si="36"/>
        <v/>
      </c>
    </row>
    <row r="322" spans="1:14">
      <c r="A322" s="143" t="str">
        <f>IF(C322="","",VLOOKUP('Opći dio'!$C$3,'Opći dio'!$L$6:$U$137,10,FALSE))</f>
        <v/>
      </c>
      <c r="B322" s="143" t="str">
        <f>IF(C322="","",VLOOKUP('Opći dio'!$C$3,'Opći dio'!$L$6:$U$137,9,FALSE))</f>
        <v/>
      </c>
      <c r="C322" s="149"/>
      <c r="D322" s="144" t="str">
        <f t="shared" si="32"/>
        <v/>
      </c>
      <c r="E322" s="149"/>
      <c r="F322" s="144" t="str">
        <f t="shared" si="33"/>
        <v/>
      </c>
      <c r="G322" s="183"/>
      <c r="H322" s="144" t="str">
        <f t="shared" si="34"/>
        <v/>
      </c>
      <c r="I322" s="182"/>
      <c r="J322" s="182"/>
      <c r="K322" s="182"/>
      <c r="M322" s="139" t="str">
        <f t="shared" si="35"/>
        <v/>
      </c>
      <c r="N322" s="139" t="str">
        <f t="shared" si="36"/>
        <v/>
      </c>
    </row>
    <row r="323" spans="1:14">
      <c r="A323" s="143" t="str">
        <f>IF(C323="","",VLOOKUP('Opći dio'!$C$3,'Opći dio'!$L$6:$U$137,10,FALSE))</f>
        <v/>
      </c>
      <c r="B323" s="143" t="str">
        <f>IF(C323="","",VLOOKUP('Opći dio'!$C$3,'Opći dio'!$L$6:$U$137,9,FALSE))</f>
        <v/>
      </c>
      <c r="C323" s="149"/>
      <c r="D323" s="144" t="str">
        <f t="shared" si="32"/>
        <v/>
      </c>
      <c r="E323" s="149"/>
      <c r="F323" s="144" t="str">
        <f t="shared" si="33"/>
        <v/>
      </c>
      <c r="G323" s="183"/>
      <c r="H323" s="144" t="str">
        <f t="shared" si="34"/>
        <v/>
      </c>
      <c r="I323" s="182"/>
      <c r="J323" s="182"/>
      <c r="K323" s="182"/>
      <c r="M323" s="139" t="str">
        <f t="shared" si="35"/>
        <v/>
      </c>
      <c r="N323" s="139" t="str">
        <f t="shared" si="36"/>
        <v/>
      </c>
    </row>
    <row r="324" spans="1:14">
      <c r="A324" s="143" t="str">
        <f>IF(C324="","",VLOOKUP('Opći dio'!$C$3,'Opći dio'!$L$6:$U$137,10,FALSE))</f>
        <v/>
      </c>
      <c r="B324" s="143" t="str">
        <f>IF(C324="","",VLOOKUP('Opći dio'!$C$3,'Opći dio'!$L$6:$U$137,9,FALSE))</f>
        <v/>
      </c>
      <c r="C324" s="149"/>
      <c r="D324" s="144" t="str">
        <f t="shared" ref="D324:D387" si="37">IFERROR(VLOOKUP(C324,$O$6:$P$23,2,FALSE),"")</f>
        <v/>
      </c>
      <c r="E324" s="149"/>
      <c r="F324" s="144" t="str">
        <f t="shared" ref="F324:F387" si="38">IFERROR(VLOOKUP(E324,$R$5:$T$129,2,FALSE),"")</f>
        <v/>
      </c>
      <c r="G324" s="183"/>
      <c r="H324" s="144" t="str">
        <f t="shared" ref="H324:H387" si="39">IFERROR(VLOOKUP(G324,$X$6:$Y$297,2,FALSE),"")</f>
        <v/>
      </c>
      <c r="I324" s="182"/>
      <c r="J324" s="182"/>
      <c r="K324" s="182"/>
      <c r="M324" s="139" t="str">
        <f t="shared" ref="M324:M387" si="40">LEFT(E324,3)</f>
        <v/>
      </c>
      <c r="N324" s="139" t="str">
        <f t="shared" ref="N324:N387" si="41">LEFT(E324,2)</f>
        <v/>
      </c>
    </row>
    <row r="325" spans="1:14">
      <c r="A325" s="143" t="str">
        <f>IF(C325="","",VLOOKUP('Opći dio'!$C$3,'Opći dio'!$L$6:$U$137,10,FALSE))</f>
        <v/>
      </c>
      <c r="B325" s="143" t="str">
        <f>IF(C325="","",VLOOKUP('Opći dio'!$C$3,'Opći dio'!$L$6:$U$137,9,FALSE))</f>
        <v/>
      </c>
      <c r="C325" s="149"/>
      <c r="D325" s="144" t="str">
        <f t="shared" si="37"/>
        <v/>
      </c>
      <c r="E325" s="149"/>
      <c r="F325" s="144" t="str">
        <f t="shared" si="38"/>
        <v/>
      </c>
      <c r="G325" s="183"/>
      <c r="H325" s="144" t="str">
        <f t="shared" si="39"/>
        <v/>
      </c>
      <c r="I325" s="182"/>
      <c r="J325" s="182"/>
      <c r="K325" s="182"/>
      <c r="M325" s="139" t="str">
        <f t="shared" si="40"/>
        <v/>
      </c>
      <c r="N325" s="139" t="str">
        <f t="shared" si="41"/>
        <v/>
      </c>
    </row>
    <row r="326" spans="1:14">
      <c r="A326" s="143" t="str">
        <f>IF(C326="","",VLOOKUP('Opći dio'!$C$3,'Opći dio'!$L$6:$U$137,10,FALSE))</f>
        <v/>
      </c>
      <c r="B326" s="143" t="str">
        <f>IF(C326="","",VLOOKUP('Opći dio'!$C$3,'Opći dio'!$L$6:$U$137,9,FALSE))</f>
        <v/>
      </c>
      <c r="C326" s="149"/>
      <c r="D326" s="144" t="str">
        <f t="shared" si="37"/>
        <v/>
      </c>
      <c r="E326" s="149"/>
      <c r="F326" s="144" t="str">
        <f t="shared" si="38"/>
        <v/>
      </c>
      <c r="G326" s="183"/>
      <c r="H326" s="144" t="str">
        <f t="shared" si="39"/>
        <v/>
      </c>
      <c r="I326" s="182"/>
      <c r="J326" s="182"/>
      <c r="K326" s="182"/>
      <c r="M326" s="139" t="str">
        <f t="shared" si="40"/>
        <v/>
      </c>
      <c r="N326" s="139" t="str">
        <f t="shared" si="41"/>
        <v/>
      </c>
    </row>
    <row r="327" spans="1:14">
      <c r="A327" s="143" t="str">
        <f>IF(C327="","",VLOOKUP('Opći dio'!$C$3,'Opći dio'!$L$6:$U$137,10,FALSE))</f>
        <v/>
      </c>
      <c r="B327" s="143" t="str">
        <f>IF(C327="","",VLOOKUP('Opći dio'!$C$3,'Opći dio'!$L$6:$U$137,9,FALSE))</f>
        <v/>
      </c>
      <c r="C327" s="149"/>
      <c r="D327" s="144" t="str">
        <f t="shared" si="37"/>
        <v/>
      </c>
      <c r="E327" s="149"/>
      <c r="F327" s="144" t="str">
        <f t="shared" si="38"/>
        <v/>
      </c>
      <c r="G327" s="183"/>
      <c r="H327" s="144" t="str">
        <f t="shared" si="39"/>
        <v/>
      </c>
      <c r="I327" s="182"/>
      <c r="J327" s="182"/>
      <c r="K327" s="182"/>
      <c r="M327" s="139" t="str">
        <f t="shared" si="40"/>
        <v/>
      </c>
      <c r="N327" s="139" t="str">
        <f t="shared" si="41"/>
        <v/>
      </c>
    </row>
    <row r="328" spans="1:14">
      <c r="A328" s="143" t="str">
        <f>IF(C328="","",VLOOKUP('Opći dio'!$C$3,'Opći dio'!$L$6:$U$137,10,FALSE))</f>
        <v/>
      </c>
      <c r="B328" s="143" t="str">
        <f>IF(C328="","",VLOOKUP('Opći dio'!$C$3,'Opći dio'!$L$6:$U$137,9,FALSE))</f>
        <v/>
      </c>
      <c r="C328" s="149"/>
      <c r="D328" s="144" t="str">
        <f t="shared" si="37"/>
        <v/>
      </c>
      <c r="E328" s="149"/>
      <c r="F328" s="144" t="str">
        <f t="shared" si="38"/>
        <v/>
      </c>
      <c r="G328" s="183"/>
      <c r="H328" s="144" t="str">
        <f t="shared" si="39"/>
        <v/>
      </c>
      <c r="I328" s="182"/>
      <c r="J328" s="182"/>
      <c r="K328" s="182"/>
      <c r="M328" s="139" t="str">
        <f t="shared" si="40"/>
        <v/>
      </c>
      <c r="N328" s="139" t="str">
        <f t="shared" si="41"/>
        <v/>
      </c>
    </row>
    <row r="329" spans="1:14">
      <c r="A329" s="143" t="str">
        <f>IF(C329="","",VLOOKUP('Opći dio'!$C$3,'Opći dio'!$L$6:$U$137,10,FALSE))</f>
        <v/>
      </c>
      <c r="B329" s="143" t="str">
        <f>IF(C329="","",VLOOKUP('Opći dio'!$C$3,'Opći dio'!$L$6:$U$137,9,FALSE))</f>
        <v/>
      </c>
      <c r="C329" s="149"/>
      <c r="D329" s="144" t="str">
        <f t="shared" si="37"/>
        <v/>
      </c>
      <c r="E329" s="149"/>
      <c r="F329" s="144" t="str">
        <f t="shared" si="38"/>
        <v/>
      </c>
      <c r="G329" s="183"/>
      <c r="H329" s="144" t="str">
        <f t="shared" si="39"/>
        <v/>
      </c>
      <c r="I329" s="182"/>
      <c r="J329" s="182"/>
      <c r="K329" s="182"/>
      <c r="M329" s="139" t="str">
        <f t="shared" si="40"/>
        <v/>
      </c>
      <c r="N329" s="139" t="str">
        <f t="shared" si="41"/>
        <v/>
      </c>
    </row>
    <row r="330" spans="1:14">
      <c r="A330" s="143" t="str">
        <f>IF(C330="","",VLOOKUP('Opći dio'!$C$3,'Opći dio'!$L$6:$U$137,10,FALSE))</f>
        <v/>
      </c>
      <c r="B330" s="143" t="str">
        <f>IF(C330="","",VLOOKUP('Opći dio'!$C$3,'Opći dio'!$L$6:$U$137,9,FALSE))</f>
        <v/>
      </c>
      <c r="C330" s="149"/>
      <c r="D330" s="144" t="str">
        <f t="shared" si="37"/>
        <v/>
      </c>
      <c r="E330" s="149"/>
      <c r="F330" s="144" t="str">
        <f t="shared" si="38"/>
        <v/>
      </c>
      <c r="G330" s="183"/>
      <c r="H330" s="144" t="str">
        <f t="shared" si="39"/>
        <v/>
      </c>
      <c r="I330" s="182"/>
      <c r="J330" s="182"/>
      <c r="K330" s="182"/>
      <c r="M330" s="139" t="str">
        <f t="shared" si="40"/>
        <v/>
      </c>
      <c r="N330" s="139" t="str">
        <f t="shared" si="41"/>
        <v/>
      </c>
    </row>
    <row r="331" spans="1:14">
      <c r="A331" s="143" t="str">
        <f>IF(C331="","",VLOOKUP('Opći dio'!$C$3,'Opći dio'!$L$6:$U$137,10,FALSE))</f>
        <v/>
      </c>
      <c r="B331" s="143" t="str">
        <f>IF(C331="","",VLOOKUP('Opći dio'!$C$3,'Opći dio'!$L$6:$U$137,9,FALSE))</f>
        <v/>
      </c>
      <c r="C331" s="149"/>
      <c r="D331" s="144" t="str">
        <f t="shared" si="37"/>
        <v/>
      </c>
      <c r="E331" s="149"/>
      <c r="F331" s="144" t="str">
        <f t="shared" si="38"/>
        <v/>
      </c>
      <c r="G331" s="183"/>
      <c r="H331" s="144" t="str">
        <f t="shared" si="39"/>
        <v/>
      </c>
      <c r="I331" s="182"/>
      <c r="J331" s="182"/>
      <c r="K331" s="182"/>
      <c r="M331" s="139" t="str">
        <f t="shared" si="40"/>
        <v/>
      </c>
      <c r="N331" s="139" t="str">
        <f t="shared" si="41"/>
        <v/>
      </c>
    </row>
    <row r="332" spans="1:14">
      <c r="A332" s="143" t="str">
        <f>IF(C332="","",VLOOKUP('Opći dio'!$C$3,'Opći dio'!$L$6:$U$137,10,FALSE))</f>
        <v/>
      </c>
      <c r="B332" s="143" t="str">
        <f>IF(C332="","",VLOOKUP('Opći dio'!$C$3,'Opći dio'!$L$6:$U$137,9,FALSE))</f>
        <v/>
      </c>
      <c r="C332" s="149"/>
      <c r="D332" s="144" t="str">
        <f t="shared" si="37"/>
        <v/>
      </c>
      <c r="E332" s="149"/>
      <c r="F332" s="144" t="str">
        <f t="shared" si="38"/>
        <v/>
      </c>
      <c r="G332" s="183"/>
      <c r="H332" s="144" t="str">
        <f t="shared" si="39"/>
        <v/>
      </c>
      <c r="I332" s="182"/>
      <c r="J332" s="182"/>
      <c r="K332" s="182"/>
      <c r="M332" s="139" t="str">
        <f t="shared" si="40"/>
        <v/>
      </c>
      <c r="N332" s="139" t="str">
        <f t="shared" si="41"/>
        <v/>
      </c>
    </row>
    <row r="333" spans="1:14">
      <c r="A333" s="143" t="str">
        <f>IF(C333="","",VLOOKUP('Opći dio'!$C$3,'Opći dio'!$L$6:$U$137,10,FALSE))</f>
        <v/>
      </c>
      <c r="B333" s="143" t="str">
        <f>IF(C333="","",VLOOKUP('Opći dio'!$C$3,'Opći dio'!$L$6:$U$137,9,FALSE))</f>
        <v/>
      </c>
      <c r="C333" s="149"/>
      <c r="D333" s="144" t="str">
        <f t="shared" si="37"/>
        <v/>
      </c>
      <c r="E333" s="149"/>
      <c r="F333" s="144" t="str">
        <f t="shared" si="38"/>
        <v/>
      </c>
      <c r="G333" s="183"/>
      <c r="H333" s="144" t="str">
        <f t="shared" si="39"/>
        <v/>
      </c>
      <c r="I333" s="182"/>
      <c r="J333" s="182"/>
      <c r="K333" s="182"/>
      <c r="M333" s="139" t="str">
        <f t="shared" si="40"/>
        <v/>
      </c>
      <c r="N333" s="139" t="str">
        <f t="shared" si="41"/>
        <v/>
      </c>
    </row>
    <row r="334" spans="1:14">
      <c r="A334" s="143" t="str">
        <f>IF(C334="","",VLOOKUP('Opći dio'!$C$3,'Opći dio'!$L$6:$U$137,10,FALSE))</f>
        <v/>
      </c>
      <c r="B334" s="143" t="str">
        <f>IF(C334="","",VLOOKUP('Opći dio'!$C$3,'Opći dio'!$L$6:$U$137,9,FALSE))</f>
        <v/>
      </c>
      <c r="C334" s="149"/>
      <c r="D334" s="144" t="str">
        <f t="shared" si="37"/>
        <v/>
      </c>
      <c r="E334" s="149"/>
      <c r="F334" s="144" t="str">
        <f t="shared" si="38"/>
        <v/>
      </c>
      <c r="G334" s="183"/>
      <c r="H334" s="144" t="str">
        <f t="shared" si="39"/>
        <v/>
      </c>
      <c r="I334" s="182"/>
      <c r="J334" s="182"/>
      <c r="K334" s="182"/>
      <c r="M334" s="139" t="str">
        <f t="shared" si="40"/>
        <v/>
      </c>
      <c r="N334" s="139" t="str">
        <f t="shared" si="41"/>
        <v/>
      </c>
    </row>
    <row r="335" spans="1:14">
      <c r="A335" s="143" t="str">
        <f>IF(C335="","",VLOOKUP('Opći dio'!$C$3,'Opći dio'!$L$6:$U$137,10,FALSE))</f>
        <v/>
      </c>
      <c r="B335" s="143" t="str">
        <f>IF(C335="","",VLOOKUP('Opći dio'!$C$3,'Opći dio'!$L$6:$U$137,9,FALSE))</f>
        <v/>
      </c>
      <c r="C335" s="149"/>
      <c r="D335" s="144" t="str">
        <f t="shared" si="37"/>
        <v/>
      </c>
      <c r="E335" s="149"/>
      <c r="F335" s="144" t="str">
        <f t="shared" si="38"/>
        <v/>
      </c>
      <c r="G335" s="183"/>
      <c r="H335" s="144" t="str">
        <f t="shared" si="39"/>
        <v/>
      </c>
      <c r="I335" s="182"/>
      <c r="J335" s="182"/>
      <c r="K335" s="182"/>
      <c r="M335" s="139" t="str">
        <f t="shared" si="40"/>
        <v/>
      </c>
      <c r="N335" s="139" t="str">
        <f t="shared" si="41"/>
        <v/>
      </c>
    </row>
    <row r="336" spans="1:14">
      <c r="A336" s="143" t="str">
        <f>IF(C336="","",VLOOKUP('Opći dio'!$C$3,'Opći dio'!$L$6:$U$137,10,FALSE))</f>
        <v/>
      </c>
      <c r="B336" s="143" t="str">
        <f>IF(C336="","",VLOOKUP('Opći dio'!$C$3,'Opći dio'!$L$6:$U$137,9,FALSE))</f>
        <v/>
      </c>
      <c r="C336" s="149"/>
      <c r="D336" s="144" t="str">
        <f t="shared" si="37"/>
        <v/>
      </c>
      <c r="E336" s="149"/>
      <c r="F336" s="144" t="str">
        <f t="shared" si="38"/>
        <v/>
      </c>
      <c r="G336" s="183"/>
      <c r="H336" s="144" t="str">
        <f t="shared" si="39"/>
        <v/>
      </c>
      <c r="I336" s="182"/>
      <c r="J336" s="182"/>
      <c r="K336" s="182"/>
      <c r="M336" s="139" t="str">
        <f t="shared" si="40"/>
        <v/>
      </c>
      <c r="N336" s="139" t="str">
        <f t="shared" si="41"/>
        <v/>
      </c>
    </row>
    <row r="337" spans="1:14">
      <c r="A337" s="143" t="str">
        <f>IF(C337="","",VLOOKUP('Opći dio'!$C$3,'Opći dio'!$L$6:$U$137,10,FALSE))</f>
        <v/>
      </c>
      <c r="B337" s="143" t="str">
        <f>IF(C337="","",VLOOKUP('Opći dio'!$C$3,'Opći dio'!$L$6:$U$137,9,FALSE))</f>
        <v/>
      </c>
      <c r="C337" s="149"/>
      <c r="D337" s="144" t="str">
        <f t="shared" si="37"/>
        <v/>
      </c>
      <c r="E337" s="149"/>
      <c r="F337" s="144" t="str">
        <f t="shared" si="38"/>
        <v/>
      </c>
      <c r="G337" s="183"/>
      <c r="H337" s="144" t="str">
        <f t="shared" si="39"/>
        <v/>
      </c>
      <c r="I337" s="182"/>
      <c r="J337" s="182"/>
      <c r="K337" s="182"/>
      <c r="M337" s="139" t="str">
        <f t="shared" si="40"/>
        <v/>
      </c>
      <c r="N337" s="139" t="str">
        <f t="shared" si="41"/>
        <v/>
      </c>
    </row>
    <row r="338" spans="1:14">
      <c r="A338" s="143" t="str">
        <f>IF(C338="","",VLOOKUP('Opći dio'!$C$3,'Opći dio'!$L$6:$U$137,10,FALSE))</f>
        <v/>
      </c>
      <c r="B338" s="143" t="str">
        <f>IF(C338="","",VLOOKUP('Opći dio'!$C$3,'Opći dio'!$L$6:$U$137,9,FALSE))</f>
        <v/>
      </c>
      <c r="C338" s="149"/>
      <c r="D338" s="144" t="str">
        <f t="shared" si="37"/>
        <v/>
      </c>
      <c r="E338" s="149"/>
      <c r="F338" s="144" t="str">
        <f t="shared" si="38"/>
        <v/>
      </c>
      <c r="G338" s="183"/>
      <c r="H338" s="144" t="str">
        <f t="shared" si="39"/>
        <v/>
      </c>
      <c r="I338" s="182"/>
      <c r="J338" s="182"/>
      <c r="K338" s="182"/>
      <c r="M338" s="139" t="str">
        <f t="shared" si="40"/>
        <v/>
      </c>
      <c r="N338" s="139" t="str">
        <f t="shared" si="41"/>
        <v/>
      </c>
    </row>
    <row r="339" spans="1:14">
      <c r="A339" s="143" t="str">
        <f>IF(C339="","",VLOOKUP('Opći dio'!$C$3,'Opći dio'!$L$6:$U$137,10,FALSE))</f>
        <v/>
      </c>
      <c r="B339" s="143" t="str">
        <f>IF(C339="","",VLOOKUP('Opći dio'!$C$3,'Opći dio'!$L$6:$U$137,9,FALSE))</f>
        <v/>
      </c>
      <c r="C339" s="149"/>
      <c r="D339" s="144" t="str">
        <f t="shared" si="37"/>
        <v/>
      </c>
      <c r="E339" s="149"/>
      <c r="F339" s="144" t="str">
        <f t="shared" si="38"/>
        <v/>
      </c>
      <c r="G339" s="183"/>
      <c r="H339" s="144" t="str">
        <f t="shared" si="39"/>
        <v/>
      </c>
      <c r="I339" s="182"/>
      <c r="J339" s="182"/>
      <c r="K339" s="182"/>
      <c r="M339" s="139" t="str">
        <f t="shared" si="40"/>
        <v/>
      </c>
      <c r="N339" s="139" t="str">
        <f t="shared" si="41"/>
        <v/>
      </c>
    </row>
    <row r="340" spans="1:14">
      <c r="A340" s="143" t="str">
        <f>IF(C340="","",VLOOKUP('Opći dio'!$C$3,'Opći dio'!$L$6:$U$137,10,FALSE))</f>
        <v/>
      </c>
      <c r="B340" s="143" t="str">
        <f>IF(C340="","",VLOOKUP('Opći dio'!$C$3,'Opći dio'!$L$6:$U$137,9,FALSE))</f>
        <v/>
      </c>
      <c r="C340" s="149"/>
      <c r="D340" s="144" t="str">
        <f t="shared" si="37"/>
        <v/>
      </c>
      <c r="E340" s="149"/>
      <c r="F340" s="144" t="str">
        <f t="shared" si="38"/>
        <v/>
      </c>
      <c r="G340" s="183"/>
      <c r="H340" s="144" t="str">
        <f t="shared" si="39"/>
        <v/>
      </c>
      <c r="I340" s="182"/>
      <c r="J340" s="182"/>
      <c r="K340" s="182"/>
      <c r="M340" s="139" t="str">
        <f t="shared" si="40"/>
        <v/>
      </c>
      <c r="N340" s="139" t="str">
        <f t="shared" si="41"/>
        <v/>
      </c>
    </row>
    <row r="341" spans="1:14">
      <c r="A341" s="143" t="str">
        <f>IF(C341="","",VLOOKUP('Opći dio'!$C$3,'Opći dio'!$L$6:$U$137,10,FALSE))</f>
        <v/>
      </c>
      <c r="B341" s="143" t="str">
        <f>IF(C341="","",VLOOKUP('Opći dio'!$C$3,'Opći dio'!$L$6:$U$137,9,FALSE))</f>
        <v/>
      </c>
      <c r="C341" s="149"/>
      <c r="D341" s="144" t="str">
        <f t="shared" si="37"/>
        <v/>
      </c>
      <c r="E341" s="149"/>
      <c r="F341" s="144" t="str">
        <f t="shared" si="38"/>
        <v/>
      </c>
      <c r="G341" s="183"/>
      <c r="H341" s="144" t="str">
        <f t="shared" si="39"/>
        <v/>
      </c>
      <c r="I341" s="182"/>
      <c r="J341" s="182"/>
      <c r="K341" s="182"/>
      <c r="M341" s="139" t="str">
        <f t="shared" si="40"/>
        <v/>
      </c>
      <c r="N341" s="139" t="str">
        <f t="shared" si="41"/>
        <v/>
      </c>
    </row>
    <row r="342" spans="1:14">
      <c r="A342" s="143" t="str">
        <f>IF(C342="","",VLOOKUP('Opći dio'!$C$3,'Opći dio'!$L$6:$U$137,10,FALSE))</f>
        <v/>
      </c>
      <c r="B342" s="143" t="str">
        <f>IF(C342="","",VLOOKUP('Opći dio'!$C$3,'Opći dio'!$L$6:$U$137,9,FALSE))</f>
        <v/>
      </c>
      <c r="C342" s="149"/>
      <c r="D342" s="144" t="str">
        <f t="shared" si="37"/>
        <v/>
      </c>
      <c r="E342" s="149"/>
      <c r="F342" s="144" t="str">
        <f t="shared" si="38"/>
        <v/>
      </c>
      <c r="G342" s="183"/>
      <c r="H342" s="144" t="str">
        <f t="shared" si="39"/>
        <v/>
      </c>
      <c r="I342" s="182"/>
      <c r="J342" s="182"/>
      <c r="K342" s="182"/>
      <c r="M342" s="139" t="str">
        <f t="shared" si="40"/>
        <v/>
      </c>
      <c r="N342" s="139" t="str">
        <f t="shared" si="41"/>
        <v/>
      </c>
    </row>
    <row r="343" spans="1:14">
      <c r="A343" s="143" t="str">
        <f>IF(C343="","",VLOOKUP('Opći dio'!$C$3,'Opći dio'!$L$6:$U$137,10,FALSE))</f>
        <v/>
      </c>
      <c r="B343" s="143" t="str">
        <f>IF(C343="","",VLOOKUP('Opći dio'!$C$3,'Opći dio'!$L$6:$U$137,9,FALSE))</f>
        <v/>
      </c>
      <c r="C343" s="149"/>
      <c r="D343" s="144" t="str">
        <f t="shared" si="37"/>
        <v/>
      </c>
      <c r="E343" s="149"/>
      <c r="F343" s="144" t="str">
        <f t="shared" si="38"/>
        <v/>
      </c>
      <c r="G343" s="183"/>
      <c r="H343" s="144" t="str">
        <f t="shared" si="39"/>
        <v/>
      </c>
      <c r="I343" s="182"/>
      <c r="J343" s="182"/>
      <c r="K343" s="182"/>
      <c r="M343" s="139" t="str">
        <f t="shared" si="40"/>
        <v/>
      </c>
      <c r="N343" s="139" t="str">
        <f t="shared" si="41"/>
        <v/>
      </c>
    </row>
    <row r="344" spans="1:14">
      <c r="A344" s="143" t="str">
        <f>IF(C344="","",VLOOKUP('Opći dio'!$C$3,'Opći dio'!$L$6:$U$137,10,FALSE))</f>
        <v/>
      </c>
      <c r="B344" s="143" t="str">
        <f>IF(C344="","",VLOOKUP('Opći dio'!$C$3,'Opći dio'!$L$6:$U$137,9,FALSE))</f>
        <v/>
      </c>
      <c r="C344" s="149"/>
      <c r="D344" s="144" t="str">
        <f t="shared" si="37"/>
        <v/>
      </c>
      <c r="E344" s="149"/>
      <c r="F344" s="144" t="str">
        <f t="shared" si="38"/>
        <v/>
      </c>
      <c r="G344" s="183"/>
      <c r="H344" s="144" t="str">
        <f t="shared" si="39"/>
        <v/>
      </c>
      <c r="I344" s="182"/>
      <c r="J344" s="182"/>
      <c r="K344" s="182"/>
      <c r="M344" s="139" t="str">
        <f t="shared" si="40"/>
        <v/>
      </c>
      <c r="N344" s="139" t="str">
        <f t="shared" si="41"/>
        <v/>
      </c>
    </row>
    <row r="345" spans="1:14">
      <c r="A345" s="143" t="str">
        <f>IF(C345="","",VLOOKUP('Opći dio'!$C$3,'Opći dio'!$L$6:$U$137,10,FALSE))</f>
        <v/>
      </c>
      <c r="B345" s="143" t="str">
        <f>IF(C345="","",VLOOKUP('Opći dio'!$C$3,'Opći dio'!$L$6:$U$137,9,FALSE))</f>
        <v/>
      </c>
      <c r="C345" s="149"/>
      <c r="D345" s="144" t="str">
        <f t="shared" si="37"/>
        <v/>
      </c>
      <c r="E345" s="149"/>
      <c r="F345" s="144" t="str">
        <f t="shared" si="38"/>
        <v/>
      </c>
      <c r="G345" s="183"/>
      <c r="H345" s="144" t="str">
        <f t="shared" si="39"/>
        <v/>
      </c>
      <c r="I345" s="182"/>
      <c r="J345" s="182"/>
      <c r="K345" s="182"/>
      <c r="M345" s="139" t="str">
        <f t="shared" si="40"/>
        <v/>
      </c>
      <c r="N345" s="139" t="str">
        <f t="shared" si="41"/>
        <v/>
      </c>
    </row>
    <row r="346" spans="1:14">
      <c r="A346" s="143" t="str">
        <f>IF(C346="","",VLOOKUP('Opći dio'!$C$3,'Opći dio'!$L$6:$U$137,10,FALSE))</f>
        <v/>
      </c>
      <c r="B346" s="143" t="str">
        <f>IF(C346="","",VLOOKUP('Opći dio'!$C$3,'Opći dio'!$L$6:$U$137,9,FALSE))</f>
        <v/>
      </c>
      <c r="C346" s="149"/>
      <c r="D346" s="144" t="str">
        <f t="shared" si="37"/>
        <v/>
      </c>
      <c r="E346" s="149"/>
      <c r="F346" s="144" t="str">
        <f t="shared" si="38"/>
        <v/>
      </c>
      <c r="G346" s="183"/>
      <c r="H346" s="144" t="str">
        <f t="shared" si="39"/>
        <v/>
      </c>
      <c r="I346" s="182"/>
      <c r="J346" s="182"/>
      <c r="K346" s="182"/>
      <c r="M346" s="139" t="str">
        <f t="shared" si="40"/>
        <v/>
      </c>
      <c r="N346" s="139" t="str">
        <f t="shared" si="41"/>
        <v/>
      </c>
    </row>
    <row r="347" spans="1:14">
      <c r="A347" s="143" t="str">
        <f>IF(C347="","",VLOOKUP('Opći dio'!$C$3,'Opći dio'!$L$6:$U$137,10,FALSE))</f>
        <v/>
      </c>
      <c r="B347" s="143" t="str">
        <f>IF(C347="","",VLOOKUP('Opći dio'!$C$3,'Opći dio'!$L$6:$U$137,9,FALSE))</f>
        <v/>
      </c>
      <c r="C347" s="149"/>
      <c r="D347" s="144" t="str">
        <f t="shared" si="37"/>
        <v/>
      </c>
      <c r="E347" s="149"/>
      <c r="F347" s="144" t="str">
        <f t="shared" si="38"/>
        <v/>
      </c>
      <c r="G347" s="183"/>
      <c r="H347" s="144" t="str">
        <f t="shared" si="39"/>
        <v/>
      </c>
      <c r="I347" s="182"/>
      <c r="J347" s="182"/>
      <c r="K347" s="182"/>
      <c r="M347" s="139" t="str">
        <f t="shared" si="40"/>
        <v/>
      </c>
      <c r="N347" s="139" t="str">
        <f t="shared" si="41"/>
        <v/>
      </c>
    </row>
    <row r="348" spans="1:14">
      <c r="A348" s="143" t="str">
        <f>IF(C348="","",VLOOKUP('Opći dio'!$C$3,'Opći dio'!$L$6:$U$137,10,FALSE))</f>
        <v/>
      </c>
      <c r="B348" s="143" t="str">
        <f>IF(C348="","",VLOOKUP('Opći dio'!$C$3,'Opći dio'!$L$6:$U$137,9,FALSE))</f>
        <v/>
      </c>
      <c r="C348" s="149"/>
      <c r="D348" s="144" t="str">
        <f t="shared" si="37"/>
        <v/>
      </c>
      <c r="E348" s="149"/>
      <c r="F348" s="144" t="str">
        <f t="shared" si="38"/>
        <v/>
      </c>
      <c r="G348" s="183"/>
      <c r="H348" s="144" t="str">
        <f t="shared" si="39"/>
        <v/>
      </c>
      <c r="I348" s="182"/>
      <c r="J348" s="182"/>
      <c r="K348" s="182"/>
      <c r="M348" s="139" t="str">
        <f t="shared" si="40"/>
        <v/>
      </c>
      <c r="N348" s="139" t="str">
        <f t="shared" si="41"/>
        <v/>
      </c>
    </row>
    <row r="349" spans="1:14">
      <c r="A349" s="143" t="str">
        <f>IF(C349="","",VLOOKUP('Opći dio'!$C$3,'Opći dio'!$L$6:$U$137,10,FALSE))</f>
        <v/>
      </c>
      <c r="B349" s="143" t="str">
        <f>IF(C349="","",VLOOKUP('Opći dio'!$C$3,'Opći dio'!$L$6:$U$137,9,FALSE))</f>
        <v/>
      </c>
      <c r="C349" s="149"/>
      <c r="D349" s="144" t="str">
        <f t="shared" si="37"/>
        <v/>
      </c>
      <c r="E349" s="149"/>
      <c r="F349" s="144" t="str">
        <f t="shared" si="38"/>
        <v/>
      </c>
      <c r="G349" s="183"/>
      <c r="H349" s="144" t="str">
        <f t="shared" si="39"/>
        <v/>
      </c>
      <c r="I349" s="182"/>
      <c r="J349" s="182"/>
      <c r="K349" s="182"/>
      <c r="M349" s="139" t="str">
        <f t="shared" si="40"/>
        <v/>
      </c>
      <c r="N349" s="139" t="str">
        <f t="shared" si="41"/>
        <v/>
      </c>
    </row>
    <row r="350" spans="1:14">
      <c r="A350" s="143" t="str">
        <f>IF(C350="","",VLOOKUP('Opći dio'!$C$3,'Opći dio'!$L$6:$U$137,10,FALSE))</f>
        <v/>
      </c>
      <c r="B350" s="143" t="str">
        <f>IF(C350="","",VLOOKUP('Opći dio'!$C$3,'Opći dio'!$L$6:$U$137,9,FALSE))</f>
        <v/>
      </c>
      <c r="C350" s="149"/>
      <c r="D350" s="144" t="str">
        <f t="shared" si="37"/>
        <v/>
      </c>
      <c r="E350" s="149"/>
      <c r="F350" s="144" t="str">
        <f t="shared" si="38"/>
        <v/>
      </c>
      <c r="G350" s="183"/>
      <c r="H350" s="144" t="str">
        <f t="shared" si="39"/>
        <v/>
      </c>
      <c r="I350" s="182"/>
      <c r="J350" s="182"/>
      <c r="K350" s="182"/>
      <c r="M350" s="139" t="str">
        <f t="shared" si="40"/>
        <v/>
      </c>
      <c r="N350" s="139" t="str">
        <f t="shared" si="41"/>
        <v/>
      </c>
    </row>
    <row r="351" spans="1:14">
      <c r="A351" s="143" t="str">
        <f>IF(C351="","",VLOOKUP('Opći dio'!$C$3,'Opći dio'!$L$6:$U$137,10,FALSE))</f>
        <v/>
      </c>
      <c r="B351" s="143" t="str">
        <f>IF(C351="","",VLOOKUP('Opći dio'!$C$3,'Opći dio'!$L$6:$U$137,9,FALSE))</f>
        <v/>
      </c>
      <c r="C351" s="149"/>
      <c r="D351" s="144" t="str">
        <f t="shared" si="37"/>
        <v/>
      </c>
      <c r="E351" s="149"/>
      <c r="F351" s="144" t="str">
        <f t="shared" si="38"/>
        <v/>
      </c>
      <c r="G351" s="183"/>
      <c r="H351" s="144" t="str">
        <f t="shared" si="39"/>
        <v/>
      </c>
      <c r="I351" s="182"/>
      <c r="J351" s="182"/>
      <c r="K351" s="182"/>
      <c r="M351" s="139" t="str">
        <f t="shared" si="40"/>
        <v/>
      </c>
      <c r="N351" s="139" t="str">
        <f t="shared" si="41"/>
        <v/>
      </c>
    </row>
    <row r="352" spans="1:14">
      <c r="A352" s="143" t="str">
        <f>IF(C352="","",VLOOKUP('Opći dio'!$C$3,'Opći dio'!$L$6:$U$137,10,FALSE))</f>
        <v/>
      </c>
      <c r="B352" s="143" t="str">
        <f>IF(C352="","",VLOOKUP('Opći dio'!$C$3,'Opći dio'!$L$6:$U$137,9,FALSE))</f>
        <v/>
      </c>
      <c r="C352" s="149"/>
      <c r="D352" s="144" t="str">
        <f t="shared" si="37"/>
        <v/>
      </c>
      <c r="E352" s="149"/>
      <c r="F352" s="144" t="str">
        <f t="shared" si="38"/>
        <v/>
      </c>
      <c r="G352" s="183"/>
      <c r="H352" s="144" t="str">
        <f t="shared" si="39"/>
        <v/>
      </c>
      <c r="I352" s="182"/>
      <c r="J352" s="182"/>
      <c r="K352" s="182"/>
      <c r="M352" s="139" t="str">
        <f t="shared" si="40"/>
        <v/>
      </c>
      <c r="N352" s="139" t="str">
        <f t="shared" si="41"/>
        <v/>
      </c>
    </row>
    <row r="353" spans="1:14">
      <c r="A353" s="143" t="str">
        <f>IF(C353="","",VLOOKUP('Opći dio'!$C$3,'Opći dio'!$L$6:$U$137,10,FALSE))</f>
        <v/>
      </c>
      <c r="B353" s="143" t="str">
        <f>IF(C353="","",VLOOKUP('Opći dio'!$C$3,'Opći dio'!$L$6:$U$137,9,FALSE))</f>
        <v/>
      </c>
      <c r="C353" s="149"/>
      <c r="D353" s="144" t="str">
        <f t="shared" si="37"/>
        <v/>
      </c>
      <c r="E353" s="149"/>
      <c r="F353" s="144" t="str">
        <f t="shared" si="38"/>
        <v/>
      </c>
      <c r="G353" s="183"/>
      <c r="H353" s="144" t="str">
        <f t="shared" si="39"/>
        <v/>
      </c>
      <c r="I353" s="182"/>
      <c r="J353" s="182"/>
      <c r="K353" s="182"/>
      <c r="M353" s="139" t="str">
        <f t="shared" si="40"/>
        <v/>
      </c>
      <c r="N353" s="139" t="str">
        <f t="shared" si="41"/>
        <v/>
      </c>
    </row>
    <row r="354" spans="1:14">
      <c r="A354" s="143" t="str">
        <f>IF(C354="","",VLOOKUP('Opći dio'!$C$3,'Opći dio'!$L$6:$U$137,10,FALSE))</f>
        <v/>
      </c>
      <c r="B354" s="143" t="str">
        <f>IF(C354="","",VLOOKUP('Opći dio'!$C$3,'Opći dio'!$L$6:$U$137,9,FALSE))</f>
        <v/>
      </c>
      <c r="C354" s="149"/>
      <c r="D354" s="144" t="str">
        <f t="shared" si="37"/>
        <v/>
      </c>
      <c r="E354" s="149"/>
      <c r="F354" s="144" t="str">
        <f t="shared" si="38"/>
        <v/>
      </c>
      <c r="G354" s="183"/>
      <c r="H354" s="144" t="str">
        <f t="shared" si="39"/>
        <v/>
      </c>
      <c r="I354" s="182"/>
      <c r="J354" s="182"/>
      <c r="K354" s="182"/>
      <c r="M354" s="139" t="str">
        <f t="shared" si="40"/>
        <v/>
      </c>
      <c r="N354" s="139" t="str">
        <f t="shared" si="41"/>
        <v/>
      </c>
    </row>
    <row r="355" spans="1:14">
      <c r="A355" s="143" t="str">
        <f>IF(C355="","",VLOOKUP('Opći dio'!$C$3,'Opći dio'!$L$6:$U$137,10,FALSE))</f>
        <v/>
      </c>
      <c r="B355" s="143" t="str">
        <f>IF(C355="","",VLOOKUP('Opći dio'!$C$3,'Opći dio'!$L$6:$U$137,9,FALSE))</f>
        <v/>
      </c>
      <c r="C355" s="149"/>
      <c r="D355" s="144" t="str">
        <f t="shared" si="37"/>
        <v/>
      </c>
      <c r="E355" s="149"/>
      <c r="F355" s="144" t="str">
        <f t="shared" si="38"/>
        <v/>
      </c>
      <c r="G355" s="183"/>
      <c r="H355" s="144" t="str">
        <f t="shared" si="39"/>
        <v/>
      </c>
      <c r="I355" s="182"/>
      <c r="J355" s="182"/>
      <c r="K355" s="182"/>
      <c r="M355" s="139" t="str">
        <f t="shared" si="40"/>
        <v/>
      </c>
      <c r="N355" s="139" t="str">
        <f t="shared" si="41"/>
        <v/>
      </c>
    </row>
    <row r="356" spans="1:14">
      <c r="A356" s="143" t="str">
        <f>IF(C356="","",VLOOKUP('Opći dio'!$C$3,'Opći dio'!$L$6:$U$137,10,FALSE))</f>
        <v/>
      </c>
      <c r="B356" s="143" t="str">
        <f>IF(C356="","",VLOOKUP('Opći dio'!$C$3,'Opći dio'!$L$6:$U$137,9,FALSE))</f>
        <v/>
      </c>
      <c r="C356" s="149"/>
      <c r="D356" s="144" t="str">
        <f t="shared" si="37"/>
        <v/>
      </c>
      <c r="E356" s="149"/>
      <c r="F356" s="144" t="str">
        <f t="shared" si="38"/>
        <v/>
      </c>
      <c r="G356" s="183"/>
      <c r="H356" s="144" t="str">
        <f t="shared" si="39"/>
        <v/>
      </c>
      <c r="I356" s="182"/>
      <c r="J356" s="182"/>
      <c r="K356" s="182"/>
      <c r="M356" s="139" t="str">
        <f t="shared" si="40"/>
        <v/>
      </c>
      <c r="N356" s="139" t="str">
        <f t="shared" si="41"/>
        <v/>
      </c>
    </row>
    <row r="357" spans="1:14">
      <c r="A357" s="143" t="str">
        <f>IF(C357="","",VLOOKUP('Opći dio'!$C$3,'Opći dio'!$L$6:$U$137,10,FALSE))</f>
        <v/>
      </c>
      <c r="B357" s="143" t="str">
        <f>IF(C357="","",VLOOKUP('Opći dio'!$C$3,'Opći dio'!$L$6:$U$137,9,FALSE))</f>
        <v/>
      </c>
      <c r="C357" s="149"/>
      <c r="D357" s="144" t="str">
        <f t="shared" si="37"/>
        <v/>
      </c>
      <c r="E357" s="149"/>
      <c r="F357" s="144" t="str">
        <f t="shared" si="38"/>
        <v/>
      </c>
      <c r="G357" s="183"/>
      <c r="H357" s="144" t="str">
        <f t="shared" si="39"/>
        <v/>
      </c>
      <c r="I357" s="182"/>
      <c r="J357" s="182"/>
      <c r="K357" s="182"/>
      <c r="M357" s="139" t="str">
        <f t="shared" si="40"/>
        <v/>
      </c>
      <c r="N357" s="139" t="str">
        <f t="shared" si="41"/>
        <v/>
      </c>
    </row>
    <row r="358" spans="1:14">
      <c r="A358" s="143" t="str">
        <f>IF(C358="","",VLOOKUP('Opći dio'!$C$3,'Opći dio'!$L$6:$U$137,10,FALSE))</f>
        <v/>
      </c>
      <c r="B358" s="143" t="str">
        <f>IF(C358="","",VLOOKUP('Opći dio'!$C$3,'Opći dio'!$L$6:$U$137,9,FALSE))</f>
        <v/>
      </c>
      <c r="C358" s="149"/>
      <c r="D358" s="144" t="str">
        <f t="shared" si="37"/>
        <v/>
      </c>
      <c r="E358" s="149"/>
      <c r="F358" s="144" t="str">
        <f t="shared" si="38"/>
        <v/>
      </c>
      <c r="G358" s="183"/>
      <c r="H358" s="144" t="str">
        <f t="shared" si="39"/>
        <v/>
      </c>
      <c r="I358" s="182"/>
      <c r="J358" s="182"/>
      <c r="K358" s="182"/>
      <c r="M358" s="139" t="str">
        <f t="shared" si="40"/>
        <v/>
      </c>
      <c r="N358" s="139" t="str">
        <f t="shared" si="41"/>
        <v/>
      </c>
    </row>
    <row r="359" spans="1:14">
      <c r="A359" s="143" t="str">
        <f>IF(C359="","",VLOOKUP('Opći dio'!$C$3,'Opći dio'!$L$6:$U$137,10,FALSE))</f>
        <v/>
      </c>
      <c r="B359" s="143" t="str">
        <f>IF(C359="","",VLOOKUP('Opći dio'!$C$3,'Opći dio'!$L$6:$U$137,9,FALSE))</f>
        <v/>
      </c>
      <c r="C359" s="149"/>
      <c r="D359" s="144" t="str">
        <f t="shared" si="37"/>
        <v/>
      </c>
      <c r="E359" s="149"/>
      <c r="F359" s="144" t="str">
        <f t="shared" si="38"/>
        <v/>
      </c>
      <c r="G359" s="183"/>
      <c r="H359" s="144" t="str">
        <f t="shared" si="39"/>
        <v/>
      </c>
      <c r="I359" s="182"/>
      <c r="J359" s="182"/>
      <c r="K359" s="182"/>
      <c r="M359" s="139" t="str">
        <f t="shared" si="40"/>
        <v/>
      </c>
      <c r="N359" s="139" t="str">
        <f t="shared" si="41"/>
        <v/>
      </c>
    </row>
    <row r="360" spans="1:14">
      <c r="A360" s="143" t="str">
        <f>IF(C360="","",VLOOKUP('Opći dio'!$C$3,'Opći dio'!$L$6:$U$137,10,FALSE))</f>
        <v/>
      </c>
      <c r="B360" s="143" t="str">
        <f>IF(C360="","",VLOOKUP('Opći dio'!$C$3,'Opći dio'!$L$6:$U$137,9,FALSE))</f>
        <v/>
      </c>
      <c r="C360" s="149"/>
      <c r="D360" s="144" t="str">
        <f t="shared" si="37"/>
        <v/>
      </c>
      <c r="E360" s="149"/>
      <c r="F360" s="144" t="str">
        <f t="shared" si="38"/>
        <v/>
      </c>
      <c r="G360" s="183"/>
      <c r="H360" s="144" t="str">
        <f t="shared" si="39"/>
        <v/>
      </c>
      <c r="I360" s="182"/>
      <c r="J360" s="182"/>
      <c r="K360" s="182"/>
      <c r="M360" s="139" t="str">
        <f t="shared" si="40"/>
        <v/>
      </c>
      <c r="N360" s="139" t="str">
        <f t="shared" si="41"/>
        <v/>
      </c>
    </row>
    <row r="361" spans="1:14">
      <c r="A361" s="143" t="str">
        <f>IF(C361="","",VLOOKUP('Opći dio'!$C$3,'Opći dio'!$L$6:$U$137,10,FALSE))</f>
        <v/>
      </c>
      <c r="B361" s="143" t="str">
        <f>IF(C361="","",VLOOKUP('Opći dio'!$C$3,'Opći dio'!$L$6:$U$137,9,FALSE))</f>
        <v/>
      </c>
      <c r="C361" s="149"/>
      <c r="D361" s="144" t="str">
        <f t="shared" si="37"/>
        <v/>
      </c>
      <c r="E361" s="149"/>
      <c r="F361" s="144" t="str">
        <f t="shared" si="38"/>
        <v/>
      </c>
      <c r="G361" s="183"/>
      <c r="H361" s="144" t="str">
        <f t="shared" si="39"/>
        <v/>
      </c>
      <c r="I361" s="182"/>
      <c r="J361" s="182"/>
      <c r="K361" s="182"/>
      <c r="M361" s="139" t="str">
        <f t="shared" si="40"/>
        <v/>
      </c>
      <c r="N361" s="139" t="str">
        <f t="shared" si="41"/>
        <v/>
      </c>
    </row>
    <row r="362" spans="1:14">
      <c r="A362" s="143" t="str">
        <f>IF(C362="","",VLOOKUP('Opći dio'!$C$3,'Opći dio'!$L$6:$U$137,10,FALSE))</f>
        <v/>
      </c>
      <c r="B362" s="143" t="str">
        <f>IF(C362="","",VLOOKUP('Opći dio'!$C$3,'Opći dio'!$L$6:$U$137,9,FALSE))</f>
        <v/>
      </c>
      <c r="C362" s="149"/>
      <c r="D362" s="144" t="str">
        <f t="shared" si="37"/>
        <v/>
      </c>
      <c r="E362" s="149"/>
      <c r="F362" s="144" t="str">
        <f t="shared" si="38"/>
        <v/>
      </c>
      <c r="G362" s="183"/>
      <c r="H362" s="144" t="str">
        <f t="shared" si="39"/>
        <v/>
      </c>
      <c r="I362" s="182"/>
      <c r="J362" s="182"/>
      <c r="K362" s="182"/>
      <c r="M362" s="139" t="str">
        <f t="shared" si="40"/>
        <v/>
      </c>
      <c r="N362" s="139" t="str">
        <f t="shared" si="41"/>
        <v/>
      </c>
    </row>
    <row r="363" spans="1:14">
      <c r="A363" s="143" t="str">
        <f>IF(C363="","",VLOOKUP('Opći dio'!$C$3,'Opći dio'!$L$6:$U$137,10,FALSE))</f>
        <v/>
      </c>
      <c r="B363" s="143" t="str">
        <f>IF(C363="","",VLOOKUP('Opći dio'!$C$3,'Opći dio'!$L$6:$U$137,9,FALSE))</f>
        <v/>
      </c>
      <c r="C363" s="149"/>
      <c r="D363" s="144" t="str">
        <f t="shared" si="37"/>
        <v/>
      </c>
      <c r="E363" s="149"/>
      <c r="F363" s="144" t="str">
        <f t="shared" si="38"/>
        <v/>
      </c>
      <c r="G363" s="183"/>
      <c r="H363" s="144" t="str">
        <f t="shared" si="39"/>
        <v/>
      </c>
      <c r="I363" s="182"/>
      <c r="J363" s="182"/>
      <c r="K363" s="182"/>
      <c r="M363" s="139" t="str">
        <f t="shared" si="40"/>
        <v/>
      </c>
      <c r="N363" s="139" t="str">
        <f t="shared" si="41"/>
        <v/>
      </c>
    </row>
    <row r="364" spans="1:14">
      <c r="A364" s="143" t="str">
        <f>IF(C364="","",VLOOKUP('Opći dio'!$C$3,'Opći dio'!$L$6:$U$137,10,FALSE))</f>
        <v/>
      </c>
      <c r="B364" s="143" t="str">
        <f>IF(C364="","",VLOOKUP('Opći dio'!$C$3,'Opći dio'!$L$6:$U$137,9,FALSE))</f>
        <v/>
      </c>
      <c r="C364" s="149"/>
      <c r="D364" s="144" t="str">
        <f t="shared" si="37"/>
        <v/>
      </c>
      <c r="E364" s="149"/>
      <c r="F364" s="144" t="str">
        <f t="shared" si="38"/>
        <v/>
      </c>
      <c r="G364" s="183"/>
      <c r="H364" s="144" t="str">
        <f t="shared" si="39"/>
        <v/>
      </c>
      <c r="I364" s="182"/>
      <c r="J364" s="182"/>
      <c r="K364" s="182"/>
      <c r="M364" s="139" t="str">
        <f t="shared" si="40"/>
        <v/>
      </c>
      <c r="N364" s="139" t="str">
        <f t="shared" si="41"/>
        <v/>
      </c>
    </row>
    <row r="365" spans="1:14">
      <c r="A365" s="143" t="str">
        <f>IF(C365="","",VLOOKUP('Opći dio'!$C$3,'Opći dio'!$L$6:$U$137,10,FALSE))</f>
        <v/>
      </c>
      <c r="B365" s="143" t="str">
        <f>IF(C365="","",VLOOKUP('Opći dio'!$C$3,'Opći dio'!$L$6:$U$137,9,FALSE))</f>
        <v/>
      </c>
      <c r="C365" s="149"/>
      <c r="D365" s="144" t="str">
        <f t="shared" si="37"/>
        <v/>
      </c>
      <c r="E365" s="149"/>
      <c r="F365" s="144" t="str">
        <f t="shared" si="38"/>
        <v/>
      </c>
      <c r="G365" s="183"/>
      <c r="H365" s="144" t="str">
        <f t="shared" si="39"/>
        <v/>
      </c>
      <c r="I365" s="182"/>
      <c r="J365" s="182"/>
      <c r="K365" s="182"/>
      <c r="M365" s="139" t="str">
        <f t="shared" si="40"/>
        <v/>
      </c>
      <c r="N365" s="139" t="str">
        <f t="shared" si="41"/>
        <v/>
      </c>
    </row>
    <row r="366" spans="1:14">
      <c r="A366" s="143" t="str">
        <f>IF(C366="","",VLOOKUP('Opći dio'!$C$3,'Opći dio'!$L$6:$U$137,10,FALSE))</f>
        <v/>
      </c>
      <c r="B366" s="143" t="str">
        <f>IF(C366="","",VLOOKUP('Opći dio'!$C$3,'Opći dio'!$L$6:$U$137,9,FALSE))</f>
        <v/>
      </c>
      <c r="C366" s="149"/>
      <c r="D366" s="144" t="str">
        <f t="shared" si="37"/>
        <v/>
      </c>
      <c r="E366" s="149"/>
      <c r="F366" s="144" t="str">
        <f t="shared" si="38"/>
        <v/>
      </c>
      <c r="G366" s="183"/>
      <c r="H366" s="144" t="str">
        <f t="shared" si="39"/>
        <v/>
      </c>
      <c r="I366" s="182"/>
      <c r="J366" s="182"/>
      <c r="K366" s="182"/>
      <c r="M366" s="139" t="str">
        <f t="shared" si="40"/>
        <v/>
      </c>
      <c r="N366" s="139" t="str">
        <f t="shared" si="41"/>
        <v/>
      </c>
    </row>
    <row r="367" spans="1:14">
      <c r="A367" s="143" t="str">
        <f>IF(C367="","",VLOOKUP('Opći dio'!$C$3,'Opći dio'!$L$6:$U$137,10,FALSE))</f>
        <v/>
      </c>
      <c r="B367" s="143" t="str">
        <f>IF(C367="","",VLOOKUP('Opći dio'!$C$3,'Opći dio'!$L$6:$U$137,9,FALSE))</f>
        <v/>
      </c>
      <c r="C367" s="149"/>
      <c r="D367" s="144" t="str">
        <f t="shared" si="37"/>
        <v/>
      </c>
      <c r="E367" s="149"/>
      <c r="F367" s="144" t="str">
        <f t="shared" si="38"/>
        <v/>
      </c>
      <c r="G367" s="183"/>
      <c r="H367" s="144" t="str">
        <f t="shared" si="39"/>
        <v/>
      </c>
      <c r="I367" s="182"/>
      <c r="J367" s="182"/>
      <c r="K367" s="182"/>
      <c r="M367" s="139" t="str">
        <f t="shared" si="40"/>
        <v/>
      </c>
      <c r="N367" s="139" t="str">
        <f t="shared" si="41"/>
        <v/>
      </c>
    </row>
    <row r="368" spans="1:14">
      <c r="A368" s="143" t="str">
        <f>IF(C368="","",VLOOKUP('Opći dio'!$C$3,'Opći dio'!$L$6:$U$137,10,FALSE))</f>
        <v/>
      </c>
      <c r="B368" s="143" t="str">
        <f>IF(C368="","",VLOOKUP('Opći dio'!$C$3,'Opći dio'!$L$6:$U$137,9,FALSE))</f>
        <v/>
      </c>
      <c r="C368" s="149"/>
      <c r="D368" s="144" t="str">
        <f t="shared" si="37"/>
        <v/>
      </c>
      <c r="E368" s="149"/>
      <c r="F368" s="144" t="str">
        <f t="shared" si="38"/>
        <v/>
      </c>
      <c r="G368" s="183"/>
      <c r="H368" s="144" t="str">
        <f t="shared" si="39"/>
        <v/>
      </c>
      <c r="I368" s="182"/>
      <c r="J368" s="182"/>
      <c r="K368" s="182"/>
      <c r="M368" s="139" t="str">
        <f t="shared" si="40"/>
        <v/>
      </c>
      <c r="N368" s="139" t="str">
        <f t="shared" si="41"/>
        <v/>
      </c>
    </row>
    <row r="369" spans="1:14">
      <c r="A369" s="143" t="str">
        <f>IF(C369="","",VLOOKUP('Opći dio'!$C$3,'Opći dio'!$L$6:$U$137,10,FALSE))</f>
        <v/>
      </c>
      <c r="B369" s="143" t="str">
        <f>IF(C369="","",VLOOKUP('Opći dio'!$C$3,'Opći dio'!$L$6:$U$137,9,FALSE))</f>
        <v/>
      </c>
      <c r="C369" s="149"/>
      <c r="D369" s="144" t="str">
        <f t="shared" si="37"/>
        <v/>
      </c>
      <c r="E369" s="149"/>
      <c r="F369" s="144" t="str">
        <f t="shared" si="38"/>
        <v/>
      </c>
      <c r="G369" s="183"/>
      <c r="H369" s="144" t="str">
        <f t="shared" si="39"/>
        <v/>
      </c>
      <c r="I369" s="182"/>
      <c r="J369" s="182"/>
      <c r="K369" s="182"/>
      <c r="M369" s="139" t="str">
        <f t="shared" si="40"/>
        <v/>
      </c>
      <c r="N369" s="139" t="str">
        <f t="shared" si="41"/>
        <v/>
      </c>
    </row>
    <row r="370" spans="1:14">
      <c r="A370" s="143" t="str">
        <f>IF(C370="","",VLOOKUP('Opći dio'!$C$3,'Opći dio'!$L$6:$U$137,10,FALSE))</f>
        <v/>
      </c>
      <c r="B370" s="143" t="str">
        <f>IF(C370="","",VLOOKUP('Opći dio'!$C$3,'Opći dio'!$L$6:$U$137,9,FALSE))</f>
        <v/>
      </c>
      <c r="C370" s="149"/>
      <c r="D370" s="144" t="str">
        <f t="shared" si="37"/>
        <v/>
      </c>
      <c r="E370" s="149"/>
      <c r="F370" s="144" t="str">
        <f t="shared" si="38"/>
        <v/>
      </c>
      <c r="G370" s="183"/>
      <c r="H370" s="144" t="str">
        <f t="shared" si="39"/>
        <v/>
      </c>
      <c r="I370" s="182"/>
      <c r="J370" s="182"/>
      <c r="K370" s="182"/>
      <c r="M370" s="139" t="str">
        <f t="shared" si="40"/>
        <v/>
      </c>
      <c r="N370" s="139" t="str">
        <f t="shared" si="41"/>
        <v/>
      </c>
    </row>
    <row r="371" spans="1:14">
      <c r="A371" s="143" t="str">
        <f>IF(C371="","",VLOOKUP('Opći dio'!$C$3,'Opći dio'!$L$6:$U$137,10,FALSE))</f>
        <v/>
      </c>
      <c r="B371" s="143" t="str">
        <f>IF(C371="","",VLOOKUP('Opći dio'!$C$3,'Opći dio'!$L$6:$U$137,9,FALSE))</f>
        <v/>
      </c>
      <c r="C371" s="149"/>
      <c r="D371" s="144" t="str">
        <f t="shared" si="37"/>
        <v/>
      </c>
      <c r="E371" s="149"/>
      <c r="F371" s="144" t="str">
        <f t="shared" si="38"/>
        <v/>
      </c>
      <c r="G371" s="183"/>
      <c r="H371" s="144" t="str">
        <f t="shared" si="39"/>
        <v/>
      </c>
      <c r="I371" s="182"/>
      <c r="J371" s="182"/>
      <c r="K371" s="182"/>
      <c r="M371" s="139" t="str">
        <f t="shared" si="40"/>
        <v/>
      </c>
      <c r="N371" s="139" t="str">
        <f t="shared" si="41"/>
        <v/>
      </c>
    </row>
    <row r="372" spans="1:14">
      <c r="A372" s="143" t="str">
        <f>IF(C372="","",VLOOKUP('Opći dio'!$C$3,'Opći dio'!$L$6:$U$137,10,FALSE))</f>
        <v/>
      </c>
      <c r="B372" s="143" t="str">
        <f>IF(C372="","",VLOOKUP('Opći dio'!$C$3,'Opći dio'!$L$6:$U$137,9,FALSE))</f>
        <v/>
      </c>
      <c r="C372" s="149"/>
      <c r="D372" s="144" t="str">
        <f t="shared" si="37"/>
        <v/>
      </c>
      <c r="E372" s="149"/>
      <c r="F372" s="144" t="str">
        <f t="shared" si="38"/>
        <v/>
      </c>
      <c r="G372" s="183"/>
      <c r="H372" s="144" t="str">
        <f t="shared" si="39"/>
        <v/>
      </c>
      <c r="I372" s="182"/>
      <c r="J372" s="182"/>
      <c r="K372" s="182"/>
      <c r="M372" s="139" t="str">
        <f t="shared" si="40"/>
        <v/>
      </c>
      <c r="N372" s="139" t="str">
        <f t="shared" si="41"/>
        <v/>
      </c>
    </row>
    <row r="373" spans="1:14">
      <c r="A373" s="143" t="str">
        <f>IF(C373="","",VLOOKUP('Opći dio'!$C$3,'Opći dio'!$L$6:$U$137,10,FALSE))</f>
        <v/>
      </c>
      <c r="B373" s="143" t="str">
        <f>IF(C373="","",VLOOKUP('Opći dio'!$C$3,'Opći dio'!$L$6:$U$137,9,FALSE))</f>
        <v/>
      </c>
      <c r="C373" s="149"/>
      <c r="D373" s="144" t="str">
        <f t="shared" si="37"/>
        <v/>
      </c>
      <c r="E373" s="149"/>
      <c r="F373" s="144" t="str">
        <f t="shared" si="38"/>
        <v/>
      </c>
      <c r="G373" s="183"/>
      <c r="H373" s="144" t="str">
        <f t="shared" si="39"/>
        <v/>
      </c>
      <c r="I373" s="182"/>
      <c r="J373" s="182"/>
      <c r="K373" s="182"/>
      <c r="M373" s="139" t="str">
        <f t="shared" si="40"/>
        <v/>
      </c>
      <c r="N373" s="139" t="str">
        <f t="shared" si="41"/>
        <v/>
      </c>
    </row>
    <row r="374" spans="1:14">
      <c r="A374" s="143" t="str">
        <f>IF(C374="","",VLOOKUP('Opći dio'!$C$3,'Opći dio'!$L$6:$U$137,10,FALSE))</f>
        <v/>
      </c>
      <c r="B374" s="143" t="str">
        <f>IF(C374="","",VLOOKUP('Opći dio'!$C$3,'Opći dio'!$L$6:$U$137,9,FALSE))</f>
        <v/>
      </c>
      <c r="C374" s="149"/>
      <c r="D374" s="144" t="str">
        <f t="shared" si="37"/>
        <v/>
      </c>
      <c r="E374" s="149"/>
      <c r="F374" s="144" t="str">
        <f t="shared" si="38"/>
        <v/>
      </c>
      <c r="G374" s="183"/>
      <c r="H374" s="144" t="str">
        <f t="shared" si="39"/>
        <v/>
      </c>
      <c r="I374" s="182"/>
      <c r="J374" s="182"/>
      <c r="K374" s="182"/>
      <c r="M374" s="139" t="str">
        <f t="shared" si="40"/>
        <v/>
      </c>
      <c r="N374" s="139" t="str">
        <f t="shared" si="41"/>
        <v/>
      </c>
    </row>
    <row r="375" spans="1:14">
      <c r="A375" s="143" t="str">
        <f>IF(C375="","",VLOOKUP('Opći dio'!$C$3,'Opći dio'!$L$6:$U$137,10,FALSE))</f>
        <v/>
      </c>
      <c r="B375" s="143" t="str">
        <f>IF(C375="","",VLOOKUP('Opći dio'!$C$3,'Opći dio'!$L$6:$U$137,9,FALSE))</f>
        <v/>
      </c>
      <c r="C375" s="149"/>
      <c r="D375" s="144" t="str">
        <f t="shared" si="37"/>
        <v/>
      </c>
      <c r="E375" s="149"/>
      <c r="F375" s="144" t="str">
        <f t="shared" si="38"/>
        <v/>
      </c>
      <c r="G375" s="183"/>
      <c r="H375" s="144" t="str">
        <f t="shared" si="39"/>
        <v/>
      </c>
      <c r="I375" s="182"/>
      <c r="J375" s="182"/>
      <c r="K375" s="182"/>
      <c r="M375" s="139" t="str">
        <f t="shared" si="40"/>
        <v/>
      </c>
      <c r="N375" s="139" t="str">
        <f t="shared" si="41"/>
        <v/>
      </c>
    </row>
    <row r="376" spans="1:14">
      <c r="A376" s="143" t="str">
        <f>IF(C376="","",VLOOKUP('Opći dio'!$C$3,'Opći dio'!$L$6:$U$137,10,FALSE))</f>
        <v/>
      </c>
      <c r="B376" s="143" t="str">
        <f>IF(C376="","",VLOOKUP('Opći dio'!$C$3,'Opći dio'!$L$6:$U$137,9,FALSE))</f>
        <v/>
      </c>
      <c r="C376" s="149"/>
      <c r="D376" s="144" t="str">
        <f t="shared" si="37"/>
        <v/>
      </c>
      <c r="E376" s="149"/>
      <c r="F376" s="144" t="str">
        <f t="shared" si="38"/>
        <v/>
      </c>
      <c r="G376" s="183"/>
      <c r="H376" s="144" t="str">
        <f t="shared" si="39"/>
        <v/>
      </c>
      <c r="I376" s="182"/>
      <c r="J376" s="182"/>
      <c r="K376" s="182"/>
      <c r="M376" s="139" t="str">
        <f t="shared" si="40"/>
        <v/>
      </c>
      <c r="N376" s="139" t="str">
        <f t="shared" si="41"/>
        <v/>
      </c>
    </row>
    <row r="377" spans="1:14">
      <c r="A377" s="143" t="str">
        <f>IF(C377="","",VLOOKUP('Opći dio'!$C$3,'Opći dio'!$L$6:$U$137,10,FALSE))</f>
        <v/>
      </c>
      <c r="B377" s="143" t="str">
        <f>IF(C377="","",VLOOKUP('Opći dio'!$C$3,'Opći dio'!$L$6:$U$137,9,FALSE))</f>
        <v/>
      </c>
      <c r="C377" s="149"/>
      <c r="D377" s="144" t="str">
        <f t="shared" si="37"/>
        <v/>
      </c>
      <c r="E377" s="149"/>
      <c r="F377" s="144" t="str">
        <f t="shared" si="38"/>
        <v/>
      </c>
      <c r="G377" s="183"/>
      <c r="H377" s="144" t="str">
        <f t="shared" si="39"/>
        <v/>
      </c>
      <c r="I377" s="182"/>
      <c r="J377" s="182"/>
      <c r="K377" s="182"/>
      <c r="M377" s="139" t="str">
        <f t="shared" si="40"/>
        <v/>
      </c>
      <c r="N377" s="139" t="str">
        <f t="shared" si="41"/>
        <v/>
      </c>
    </row>
    <row r="378" spans="1:14">
      <c r="A378" s="143" t="str">
        <f>IF(C378="","",VLOOKUP('Opći dio'!$C$3,'Opći dio'!$L$6:$U$137,10,FALSE))</f>
        <v/>
      </c>
      <c r="B378" s="143" t="str">
        <f>IF(C378="","",VLOOKUP('Opći dio'!$C$3,'Opći dio'!$L$6:$U$137,9,FALSE))</f>
        <v/>
      </c>
      <c r="C378" s="149"/>
      <c r="D378" s="144" t="str">
        <f t="shared" si="37"/>
        <v/>
      </c>
      <c r="E378" s="149"/>
      <c r="F378" s="144" t="str">
        <f t="shared" si="38"/>
        <v/>
      </c>
      <c r="G378" s="183"/>
      <c r="H378" s="144" t="str">
        <f t="shared" si="39"/>
        <v/>
      </c>
      <c r="I378" s="182"/>
      <c r="J378" s="182"/>
      <c r="K378" s="182"/>
      <c r="M378" s="139" t="str">
        <f t="shared" si="40"/>
        <v/>
      </c>
      <c r="N378" s="139" t="str">
        <f t="shared" si="41"/>
        <v/>
      </c>
    </row>
    <row r="379" spans="1:14">
      <c r="A379" s="143" t="str">
        <f>IF(C379="","",VLOOKUP('Opći dio'!$C$3,'Opći dio'!$L$6:$U$137,10,FALSE))</f>
        <v/>
      </c>
      <c r="B379" s="143" t="str">
        <f>IF(C379="","",VLOOKUP('Opći dio'!$C$3,'Opći dio'!$L$6:$U$137,9,FALSE))</f>
        <v/>
      </c>
      <c r="C379" s="149"/>
      <c r="D379" s="144" t="str">
        <f t="shared" si="37"/>
        <v/>
      </c>
      <c r="E379" s="149"/>
      <c r="F379" s="144" t="str">
        <f t="shared" si="38"/>
        <v/>
      </c>
      <c r="G379" s="183"/>
      <c r="H379" s="144" t="str">
        <f t="shared" si="39"/>
        <v/>
      </c>
      <c r="I379" s="182"/>
      <c r="J379" s="182"/>
      <c r="K379" s="182"/>
      <c r="M379" s="139" t="str">
        <f t="shared" si="40"/>
        <v/>
      </c>
      <c r="N379" s="139" t="str">
        <f t="shared" si="41"/>
        <v/>
      </c>
    </row>
    <row r="380" spans="1:14">
      <c r="A380" s="143" t="str">
        <f>IF(C380="","",VLOOKUP('Opći dio'!$C$3,'Opći dio'!$L$6:$U$137,10,FALSE))</f>
        <v/>
      </c>
      <c r="B380" s="143" t="str">
        <f>IF(C380="","",VLOOKUP('Opći dio'!$C$3,'Opći dio'!$L$6:$U$137,9,FALSE))</f>
        <v/>
      </c>
      <c r="C380" s="149"/>
      <c r="D380" s="144" t="str">
        <f t="shared" si="37"/>
        <v/>
      </c>
      <c r="E380" s="149"/>
      <c r="F380" s="144" t="str">
        <f t="shared" si="38"/>
        <v/>
      </c>
      <c r="G380" s="183"/>
      <c r="H380" s="144" t="str">
        <f t="shared" si="39"/>
        <v/>
      </c>
      <c r="I380" s="182"/>
      <c r="J380" s="182"/>
      <c r="K380" s="182"/>
      <c r="M380" s="139" t="str">
        <f t="shared" si="40"/>
        <v/>
      </c>
      <c r="N380" s="139" t="str">
        <f t="shared" si="41"/>
        <v/>
      </c>
    </row>
    <row r="381" spans="1:14">
      <c r="A381" s="143" t="str">
        <f>IF(C381="","",VLOOKUP('Opći dio'!$C$3,'Opći dio'!$L$6:$U$137,10,FALSE))</f>
        <v/>
      </c>
      <c r="B381" s="143" t="str">
        <f>IF(C381="","",VLOOKUP('Opći dio'!$C$3,'Opći dio'!$L$6:$U$137,9,FALSE))</f>
        <v/>
      </c>
      <c r="C381" s="149"/>
      <c r="D381" s="144" t="str">
        <f t="shared" si="37"/>
        <v/>
      </c>
      <c r="E381" s="149"/>
      <c r="F381" s="144" t="str">
        <f t="shared" si="38"/>
        <v/>
      </c>
      <c r="G381" s="183"/>
      <c r="H381" s="144" t="str">
        <f t="shared" si="39"/>
        <v/>
      </c>
      <c r="I381" s="182"/>
      <c r="J381" s="182"/>
      <c r="K381" s="182"/>
      <c r="M381" s="139" t="str">
        <f t="shared" si="40"/>
        <v/>
      </c>
      <c r="N381" s="139" t="str">
        <f t="shared" si="41"/>
        <v/>
      </c>
    </row>
    <row r="382" spans="1:14">
      <c r="A382" s="143" t="str">
        <f>IF(C382="","",VLOOKUP('Opći dio'!$C$3,'Opći dio'!$L$6:$U$137,10,FALSE))</f>
        <v/>
      </c>
      <c r="B382" s="143" t="str">
        <f>IF(C382="","",VLOOKUP('Opći dio'!$C$3,'Opći dio'!$L$6:$U$137,9,FALSE))</f>
        <v/>
      </c>
      <c r="C382" s="149"/>
      <c r="D382" s="144" t="str">
        <f t="shared" si="37"/>
        <v/>
      </c>
      <c r="E382" s="149"/>
      <c r="F382" s="144" t="str">
        <f t="shared" si="38"/>
        <v/>
      </c>
      <c r="G382" s="183"/>
      <c r="H382" s="144" t="str">
        <f t="shared" si="39"/>
        <v/>
      </c>
      <c r="I382" s="182"/>
      <c r="J382" s="182"/>
      <c r="K382" s="182"/>
      <c r="M382" s="139" t="str">
        <f t="shared" si="40"/>
        <v/>
      </c>
      <c r="N382" s="139" t="str">
        <f t="shared" si="41"/>
        <v/>
      </c>
    </row>
    <row r="383" spans="1:14">
      <c r="A383" s="143" t="str">
        <f>IF(C383="","",VLOOKUP('Opći dio'!$C$3,'Opći dio'!$L$6:$U$137,10,FALSE))</f>
        <v/>
      </c>
      <c r="B383" s="143" t="str">
        <f>IF(C383="","",VLOOKUP('Opći dio'!$C$3,'Opći dio'!$L$6:$U$137,9,FALSE))</f>
        <v/>
      </c>
      <c r="C383" s="149"/>
      <c r="D383" s="144" t="str">
        <f t="shared" si="37"/>
        <v/>
      </c>
      <c r="E383" s="149"/>
      <c r="F383" s="144" t="str">
        <f t="shared" si="38"/>
        <v/>
      </c>
      <c r="G383" s="183"/>
      <c r="H383" s="144" t="str">
        <f t="shared" si="39"/>
        <v/>
      </c>
      <c r="I383" s="182"/>
      <c r="J383" s="182"/>
      <c r="K383" s="182"/>
      <c r="M383" s="139" t="str">
        <f t="shared" si="40"/>
        <v/>
      </c>
      <c r="N383" s="139" t="str">
        <f t="shared" si="41"/>
        <v/>
      </c>
    </row>
    <row r="384" spans="1:14">
      <c r="A384" s="143" t="str">
        <f>IF(C384="","",VLOOKUP('Opći dio'!$C$3,'Opći dio'!$L$6:$U$137,10,FALSE))</f>
        <v/>
      </c>
      <c r="B384" s="143" t="str">
        <f>IF(C384="","",VLOOKUP('Opći dio'!$C$3,'Opći dio'!$L$6:$U$137,9,FALSE))</f>
        <v/>
      </c>
      <c r="C384" s="149"/>
      <c r="D384" s="144" t="str">
        <f t="shared" si="37"/>
        <v/>
      </c>
      <c r="E384" s="149"/>
      <c r="F384" s="144" t="str">
        <f t="shared" si="38"/>
        <v/>
      </c>
      <c r="G384" s="183"/>
      <c r="H384" s="144" t="str">
        <f t="shared" si="39"/>
        <v/>
      </c>
      <c r="I384" s="182"/>
      <c r="J384" s="182"/>
      <c r="K384" s="182"/>
      <c r="M384" s="139" t="str">
        <f t="shared" si="40"/>
        <v/>
      </c>
      <c r="N384" s="139" t="str">
        <f t="shared" si="41"/>
        <v/>
      </c>
    </row>
    <row r="385" spans="1:14">
      <c r="A385" s="143" t="str">
        <f>IF(C385="","",VLOOKUP('Opći dio'!$C$3,'Opći dio'!$L$6:$U$137,10,FALSE))</f>
        <v/>
      </c>
      <c r="B385" s="143" t="str">
        <f>IF(C385="","",VLOOKUP('Opći dio'!$C$3,'Opći dio'!$L$6:$U$137,9,FALSE))</f>
        <v/>
      </c>
      <c r="C385" s="149"/>
      <c r="D385" s="144" t="str">
        <f t="shared" si="37"/>
        <v/>
      </c>
      <c r="E385" s="149"/>
      <c r="F385" s="144" t="str">
        <f t="shared" si="38"/>
        <v/>
      </c>
      <c r="G385" s="183"/>
      <c r="H385" s="144" t="str">
        <f t="shared" si="39"/>
        <v/>
      </c>
      <c r="I385" s="182"/>
      <c r="J385" s="182"/>
      <c r="K385" s="182"/>
      <c r="M385" s="139" t="str">
        <f t="shared" si="40"/>
        <v/>
      </c>
      <c r="N385" s="139" t="str">
        <f t="shared" si="41"/>
        <v/>
      </c>
    </row>
    <row r="386" spans="1:14">
      <c r="A386" s="143" t="str">
        <f>IF(C386="","",VLOOKUP('Opći dio'!$C$3,'Opći dio'!$L$6:$U$137,10,FALSE))</f>
        <v/>
      </c>
      <c r="B386" s="143" t="str">
        <f>IF(C386="","",VLOOKUP('Opći dio'!$C$3,'Opći dio'!$L$6:$U$137,9,FALSE))</f>
        <v/>
      </c>
      <c r="C386" s="149"/>
      <c r="D386" s="144" t="str">
        <f t="shared" si="37"/>
        <v/>
      </c>
      <c r="E386" s="149"/>
      <c r="F386" s="144" t="str">
        <f t="shared" si="38"/>
        <v/>
      </c>
      <c r="G386" s="183"/>
      <c r="H386" s="144" t="str">
        <f t="shared" si="39"/>
        <v/>
      </c>
      <c r="I386" s="182"/>
      <c r="J386" s="182"/>
      <c r="K386" s="182"/>
      <c r="M386" s="139" t="str">
        <f t="shared" si="40"/>
        <v/>
      </c>
      <c r="N386" s="139" t="str">
        <f t="shared" si="41"/>
        <v/>
      </c>
    </row>
    <row r="387" spans="1:14">
      <c r="A387" s="143" t="str">
        <f>IF(C387="","",VLOOKUP('Opći dio'!$C$3,'Opći dio'!$L$6:$U$137,10,FALSE))</f>
        <v/>
      </c>
      <c r="B387" s="143" t="str">
        <f>IF(C387="","",VLOOKUP('Opći dio'!$C$3,'Opći dio'!$L$6:$U$137,9,FALSE))</f>
        <v/>
      </c>
      <c r="C387" s="149"/>
      <c r="D387" s="144" t="str">
        <f t="shared" si="37"/>
        <v/>
      </c>
      <c r="E387" s="149"/>
      <c r="F387" s="144" t="str">
        <f t="shared" si="38"/>
        <v/>
      </c>
      <c r="G387" s="183"/>
      <c r="H387" s="144" t="str">
        <f t="shared" si="39"/>
        <v/>
      </c>
      <c r="I387" s="182"/>
      <c r="J387" s="182"/>
      <c r="K387" s="182"/>
      <c r="M387" s="139" t="str">
        <f t="shared" si="40"/>
        <v/>
      </c>
      <c r="N387" s="139" t="str">
        <f t="shared" si="41"/>
        <v/>
      </c>
    </row>
    <row r="388" spans="1:14">
      <c r="A388" s="143" t="str">
        <f>IF(C388="","",VLOOKUP('Opći dio'!$C$3,'Opći dio'!$L$6:$U$137,10,FALSE))</f>
        <v/>
      </c>
      <c r="B388" s="143" t="str">
        <f>IF(C388="","",VLOOKUP('Opći dio'!$C$3,'Opći dio'!$L$6:$U$137,9,FALSE))</f>
        <v/>
      </c>
      <c r="C388" s="149"/>
      <c r="D388" s="144" t="str">
        <f t="shared" ref="D388:D451" si="42">IFERROR(VLOOKUP(C388,$O$6:$P$23,2,FALSE),"")</f>
        <v/>
      </c>
      <c r="E388" s="149"/>
      <c r="F388" s="144" t="str">
        <f t="shared" ref="F388:F451" si="43">IFERROR(VLOOKUP(E388,$R$5:$T$129,2,FALSE),"")</f>
        <v/>
      </c>
      <c r="G388" s="183"/>
      <c r="H388" s="144" t="str">
        <f t="shared" ref="H388:H451" si="44">IFERROR(VLOOKUP(G388,$X$6:$Y$297,2,FALSE),"")</f>
        <v/>
      </c>
      <c r="I388" s="182"/>
      <c r="J388" s="182"/>
      <c r="K388" s="182"/>
      <c r="M388" s="139" t="str">
        <f t="shared" ref="M388:M451" si="45">LEFT(E388,3)</f>
        <v/>
      </c>
      <c r="N388" s="139" t="str">
        <f t="shared" ref="N388:N451" si="46">LEFT(E388,2)</f>
        <v/>
      </c>
    </row>
    <row r="389" spans="1:14">
      <c r="A389" s="143" t="str">
        <f>IF(C389="","",VLOOKUP('Opći dio'!$C$3,'Opći dio'!$L$6:$U$137,10,FALSE))</f>
        <v/>
      </c>
      <c r="B389" s="143" t="str">
        <f>IF(C389="","",VLOOKUP('Opći dio'!$C$3,'Opći dio'!$L$6:$U$137,9,FALSE))</f>
        <v/>
      </c>
      <c r="C389" s="149"/>
      <c r="D389" s="144" t="str">
        <f t="shared" si="42"/>
        <v/>
      </c>
      <c r="E389" s="149"/>
      <c r="F389" s="144" t="str">
        <f t="shared" si="43"/>
        <v/>
      </c>
      <c r="G389" s="183"/>
      <c r="H389" s="144" t="str">
        <f t="shared" si="44"/>
        <v/>
      </c>
      <c r="I389" s="182"/>
      <c r="J389" s="182"/>
      <c r="K389" s="182"/>
      <c r="M389" s="139" t="str">
        <f t="shared" si="45"/>
        <v/>
      </c>
      <c r="N389" s="139" t="str">
        <f t="shared" si="46"/>
        <v/>
      </c>
    </row>
    <row r="390" spans="1:14">
      <c r="A390" s="143" t="str">
        <f>IF(C390="","",VLOOKUP('Opći dio'!$C$3,'Opći dio'!$L$6:$U$137,10,FALSE))</f>
        <v/>
      </c>
      <c r="B390" s="143" t="str">
        <f>IF(C390="","",VLOOKUP('Opći dio'!$C$3,'Opći dio'!$L$6:$U$137,9,FALSE))</f>
        <v/>
      </c>
      <c r="C390" s="149"/>
      <c r="D390" s="144" t="str">
        <f t="shared" si="42"/>
        <v/>
      </c>
      <c r="E390" s="149"/>
      <c r="F390" s="144" t="str">
        <f t="shared" si="43"/>
        <v/>
      </c>
      <c r="G390" s="183"/>
      <c r="H390" s="144" t="str">
        <f t="shared" si="44"/>
        <v/>
      </c>
      <c r="I390" s="182"/>
      <c r="J390" s="182"/>
      <c r="K390" s="182"/>
      <c r="M390" s="139" t="str">
        <f t="shared" si="45"/>
        <v/>
      </c>
      <c r="N390" s="139" t="str">
        <f t="shared" si="46"/>
        <v/>
      </c>
    </row>
    <row r="391" spans="1:14">
      <c r="A391" s="143" t="str">
        <f>IF(C391="","",VLOOKUP('Opći dio'!$C$3,'Opći dio'!$L$6:$U$137,10,FALSE))</f>
        <v/>
      </c>
      <c r="B391" s="143" t="str">
        <f>IF(C391="","",VLOOKUP('Opći dio'!$C$3,'Opći dio'!$L$6:$U$137,9,FALSE))</f>
        <v/>
      </c>
      <c r="C391" s="149"/>
      <c r="D391" s="144" t="str">
        <f t="shared" si="42"/>
        <v/>
      </c>
      <c r="E391" s="149"/>
      <c r="F391" s="144" t="str">
        <f t="shared" si="43"/>
        <v/>
      </c>
      <c r="G391" s="183"/>
      <c r="H391" s="144" t="str">
        <f t="shared" si="44"/>
        <v/>
      </c>
      <c r="I391" s="182"/>
      <c r="J391" s="182"/>
      <c r="K391" s="182"/>
      <c r="M391" s="139" t="str">
        <f t="shared" si="45"/>
        <v/>
      </c>
      <c r="N391" s="139" t="str">
        <f t="shared" si="46"/>
        <v/>
      </c>
    </row>
    <row r="392" spans="1:14">
      <c r="A392" s="143" t="str">
        <f>IF(C392="","",VLOOKUP('Opći dio'!$C$3,'Opći dio'!$L$6:$U$137,10,FALSE))</f>
        <v/>
      </c>
      <c r="B392" s="143" t="str">
        <f>IF(C392="","",VLOOKUP('Opći dio'!$C$3,'Opći dio'!$L$6:$U$137,9,FALSE))</f>
        <v/>
      </c>
      <c r="C392" s="149"/>
      <c r="D392" s="144" t="str">
        <f t="shared" si="42"/>
        <v/>
      </c>
      <c r="E392" s="149"/>
      <c r="F392" s="144" t="str">
        <f t="shared" si="43"/>
        <v/>
      </c>
      <c r="G392" s="183"/>
      <c r="H392" s="144" t="str">
        <f t="shared" si="44"/>
        <v/>
      </c>
      <c r="I392" s="182"/>
      <c r="J392" s="182"/>
      <c r="K392" s="182"/>
      <c r="M392" s="139" t="str">
        <f t="shared" si="45"/>
        <v/>
      </c>
      <c r="N392" s="139" t="str">
        <f t="shared" si="46"/>
        <v/>
      </c>
    </row>
    <row r="393" spans="1:14">
      <c r="A393" s="143" t="str">
        <f>IF(C393="","",VLOOKUP('Opći dio'!$C$3,'Opći dio'!$L$6:$U$137,10,FALSE))</f>
        <v/>
      </c>
      <c r="B393" s="143" t="str">
        <f>IF(C393="","",VLOOKUP('Opći dio'!$C$3,'Opći dio'!$L$6:$U$137,9,FALSE))</f>
        <v/>
      </c>
      <c r="C393" s="149"/>
      <c r="D393" s="144" t="str">
        <f t="shared" si="42"/>
        <v/>
      </c>
      <c r="E393" s="149"/>
      <c r="F393" s="144" t="str">
        <f t="shared" si="43"/>
        <v/>
      </c>
      <c r="G393" s="183"/>
      <c r="H393" s="144" t="str">
        <f t="shared" si="44"/>
        <v/>
      </c>
      <c r="I393" s="182"/>
      <c r="J393" s="182"/>
      <c r="K393" s="182"/>
      <c r="M393" s="139" t="str">
        <f t="shared" si="45"/>
        <v/>
      </c>
      <c r="N393" s="139" t="str">
        <f t="shared" si="46"/>
        <v/>
      </c>
    </row>
    <row r="394" spans="1:14">
      <c r="A394" s="143" t="str">
        <f>IF(C394="","",VLOOKUP('Opći dio'!$C$3,'Opći dio'!$L$6:$U$137,10,FALSE))</f>
        <v/>
      </c>
      <c r="B394" s="143" t="str">
        <f>IF(C394="","",VLOOKUP('Opći dio'!$C$3,'Opći dio'!$L$6:$U$137,9,FALSE))</f>
        <v/>
      </c>
      <c r="C394" s="149"/>
      <c r="D394" s="144" t="str">
        <f t="shared" si="42"/>
        <v/>
      </c>
      <c r="E394" s="149"/>
      <c r="F394" s="144" t="str">
        <f t="shared" si="43"/>
        <v/>
      </c>
      <c r="G394" s="183"/>
      <c r="H394" s="144" t="str">
        <f t="shared" si="44"/>
        <v/>
      </c>
      <c r="I394" s="182"/>
      <c r="J394" s="182"/>
      <c r="K394" s="182"/>
      <c r="M394" s="139" t="str">
        <f t="shared" si="45"/>
        <v/>
      </c>
      <c r="N394" s="139" t="str">
        <f t="shared" si="46"/>
        <v/>
      </c>
    </row>
    <row r="395" spans="1:14">
      <c r="A395" s="143" t="str">
        <f>IF(C395="","",VLOOKUP('Opći dio'!$C$3,'Opći dio'!$L$6:$U$137,10,FALSE))</f>
        <v/>
      </c>
      <c r="B395" s="143" t="str">
        <f>IF(C395="","",VLOOKUP('Opći dio'!$C$3,'Opći dio'!$L$6:$U$137,9,FALSE))</f>
        <v/>
      </c>
      <c r="C395" s="149"/>
      <c r="D395" s="144" t="str">
        <f t="shared" si="42"/>
        <v/>
      </c>
      <c r="E395" s="149"/>
      <c r="F395" s="144" t="str">
        <f t="shared" si="43"/>
        <v/>
      </c>
      <c r="G395" s="183"/>
      <c r="H395" s="144" t="str">
        <f t="shared" si="44"/>
        <v/>
      </c>
      <c r="I395" s="182"/>
      <c r="J395" s="182"/>
      <c r="K395" s="182"/>
      <c r="M395" s="139" t="str">
        <f t="shared" si="45"/>
        <v/>
      </c>
      <c r="N395" s="139" t="str">
        <f t="shared" si="46"/>
        <v/>
      </c>
    </row>
    <row r="396" spans="1:14">
      <c r="A396" s="143" t="str">
        <f>IF(C396="","",VLOOKUP('Opći dio'!$C$3,'Opći dio'!$L$6:$U$137,10,FALSE))</f>
        <v/>
      </c>
      <c r="B396" s="143" t="str">
        <f>IF(C396="","",VLOOKUP('Opći dio'!$C$3,'Opći dio'!$L$6:$U$137,9,FALSE))</f>
        <v/>
      </c>
      <c r="C396" s="149"/>
      <c r="D396" s="144" t="str">
        <f t="shared" si="42"/>
        <v/>
      </c>
      <c r="E396" s="149"/>
      <c r="F396" s="144" t="str">
        <f t="shared" si="43"/>
        <v/>
      </c>
      <c r="G396" s="183"/>
      <c r="H396" s="144" t="str">
        <f t="shared" si="44"/>
        <v/>
      </c>
      <c r="I396" s="182"/>
      <c r="J396" s="182"/>
      <c r="K396" s="182"/>
      <c r="M396" s="139" t="str">
        <f t="shared" si="45"/>
        <v/>
      </c>
      <c r="N396" s="139" t="str">
        <f t="shared" si="46"/>
        <v/>
      </c>
    </row>
    <row r="397" spans="1:14">
      <c r="A397" s="143" t="str">
        <f>IF(C397="","",VLOOKUP('Opći dio'!$C$3,'Opći dio'!$L$6:$U$137,10,FALSE))</f>
        <v/>
      </c>
      <c r="B397" s="143" t="str">
        <f>IF(C397="","",VLOOKUP('Opći dio'!$C$3,'Opći dio'!$L$6:$U$137,9,FALSE))</f>
        <v/>
      </c>
      <c r="C397" s="149"/>
      <c r="D397" s="144" t="str">
        <f t="shared" si="42"/>
        <v/>
      </c>
      <c r="E397" s="149"/>
      <c r="F397" s="144" t="str">
        <f t="shared" si="43"/>
        <v/>
      </c>
      <c r="G397" s="183"/>
      <c r="H397" s="144" t="str">
        <f t="shared" si="44"/>
        <v/>
      </c>
      <c r="I397" s="182"/>
      <c r="J397" s="182"/>
      <c r="K397" s="182"/>
      <c r="M397" s="139" t="str">
        <f t="shared" si="45"/>
        <v/>
      </c>
      <c r="N397" s="139" t="str">
        <f t="shared" si="46"/>
        <v/>
      </c>
    </row>
    <row r="398" spans="1:14">
      <c r="A398" s="143" t="str">
        <f>IF(C398="","",VLOOKUP('Opći dio'!$C$3,'Opći dio'!$L$6:$U$137,10,FALSE))</f>
        <v/>
      </c>
      <c r="B398" s="143" t="str">
        <f>IF(C398="","",VLOOKUP('Opći dio'!$C$3,'Opći dio'!$L$6:$U$137,9,FALSE))</f>
        <v/>
      </c>
      <c r="C398" s="149"/>
      <c r="D398" s="144" t="str">
        <f t="shared" si="42"/>
        <v/>
      </c>
      <c r="E398" s="149"/>
      <c r="F398" s="144" t="str">
        <f t="shared" si="43"/>
        <v/>
      </c>
      <c r="G398" s="183"/>
      <c r="H398" s="144" t="str">
        <f t="shared" si="44"/>
        <v/>
      </c>
      <c r="I398" s="182"/>
      <c r="J398" s="182"/>
      <c r="K398" s="182"/>
      <c r="M398" s="139" t="str">
        <f t="shared" si="45"/>
        <v/>
      </c>
      <c r="N398" s="139" t="str">
        <f t="shared" si="46"/>
        <v/>
      </c>
    </row>
    <row r="399" spans="1:14">
      <c r="A399" s="143" t="str">
        <f>IF(C399="","",VLOOKUP('Opći dio'!$C$3,'Opći dio'!$L$6:$U$137,10,FALSE))</f>
        <v/>
      </c>
      <c r="B399" s="143" t="str">
        <f>IF(C399="","",VLOOKUP('Opći dio'!$C$3,'Opći dio'!$L$6:$U$137,9,FALSE))</f>
        <v/>
      </c>
      <c r="C399" s="149"/>
      <c r="D399" s="144" t="str">
        <f t="shared" si="42"/>
        <v/>
      </c>
      <c r="E399" s="149"/>
      <c r="F399" s="144" t="str">
        <f t="shared" si="43"/>
        <v/>
      </c>
      <c r="G399" s="183"/>
      <c r="H399" s="144" t="str">
        <f t="shared" si="44"/>
        <v/>
      </c>
      <c r="I399" s="182"/>
      <c r="J399" s="182"/>
      <c r="K399" s="182"/>
      <c r="M399" s="139" t="str">
        <f t="shared" si="45"/>
        <v/>
      </c>
      <c r="N399" s="139" t="str">
        <f t="shared" si="46"/>
        <v/>
      </c>
    </row>
    <row r="400" spans="1:14">
      <c r="A400" s="143" t="str">
        <f>IF(C400="","",VLOOKUP('Opći dio'!$C$3,'Opći dio'!$L$6:$U$137,10,FALSE))</f>
        <v/>
      </c>
      <c r="B400" s="143" t="str">
        <f>IF(C400="","",VLOOKUP('Opći dio'!$C$3,'Opći dio'!$L$6:$U$137,9,FALSE))</f>
        <v/>
      </c>
      <c r="C400" s="149"/>
      <c r="D400" s="144" t="str">
        <f t="shared" si="42"/>
        <v/>
      </c>
      <c r="E400" s="149"/>
      <c r="F400" s="144" t="str">
        <f t="shared" si="43"/>
        <v/>
      </c>
      <c r="G400" s="183"/>
      <c r="H400" s="144" t="str">
        <f t="shared" si="44"/>
        <v/>
      </c>
      <c r="I400" s="182"/>
      <c r="J400" s="182"/>
      <c r="K400" s="182"/>
      <c r="M400" s="139" t="str">
        <f t="shared" si="45"/>
        <v/>
      </c>
      <c r="N400" s="139" t="str">
        <f t="shared" si="46"/>
        <v/>
      </c>
    </row>
    <row r="401" spans="1:14">
      <c r="A401" s="143" t="str">
        <f>IF(C401="","",VLOOKUP('Opći dio'!$C$3,'Opći dio'!$L$6:$U$137,10,FALSE))</f>
        <v/>
      </c>
      <c r="B401" s="143" t="str">
        <f>IF(C401="","",VLOOKUP('Opći dio'!$C$3,'Opći dio'!$L$6:$U$137,9,FALSE))</f>
        <v/>
      </c>
      <c r="C401" s="149"/>
      <c r="D401" s="144" t="str">
        <f t="shared" si="42"/>
        <v/>
      </c>
      <c r="E401" s="149"/>
      <c r="F401" s="144" t="str">
        <f t="shared" si="43"/>
        <v/>
      </c>
      <c r="G401" s="183"/>
      <c r="H401" s="144" t="str">
        <f t="shared" si="44"/>
        <v/>
      </c>
      <c r="I401" s="182"/>
      <c r="J401" s="182"/>
      <c r="K401" s="182"/>
      <c r="M401" s="139" t="str">
        <f t="shared" si="45"/>
        <v/>
      </c>
      <c r="N401" s="139" t="str">
        <f t="shared" si="46"/>
        <v/>
      </c>
    </row>
    <row r="402" spans="1:14">
      <c r="A402" s="143" t="str">
        <f>IF(C402="","",VLOOKUP('Opći dio'!$C$3,'Opći dio'!$L$6:$U$137,10,FALSE))</f>
        <v/>
      </c>
      <c r="B402" s="143" t="str">
        <f>IF(C402="","",VLOOKUP('Opći dio'!$C$3,'Opći dio'!$L$6:$U$137,9,FALSE))</f>
        <v/>
      </c>
      <c r="C402" s="149"/>
      <c r="D402" s="144" t="str">
        <f t="shared" si="42"/>
        <v/>
      </c>
      <c r="E402" s="149"/>
      <c r="F402" s="144" t="str">
        <f t="shared" si="43"/>
        <v/>
      </c>
      <c r="G402" s="183"/>
      <c r="H402" s="144" t="str">
        <f t="shared" si="44"/>
        <v/>
      </c>
      <c r="I402" s="182"/>
      <c r="J402" s="182"/>
      <c r="K402" s="182"/>
      <c r="M402" s="139" t="str">
        <f t="shared" si="45"/>
        <v/>
      </c>
      <c r="N402" s="139" t="str">
        <f t="shared" si="46"/>
        <v/>
      </c>
    </row>
    <row r="403" spans="1:14">
      <c r="A403" s="143" t="str">
        <f>IF(C403="","",VLOOKUP('Opći dio'!$C$3,'Opći dio'!$L$6:$U$137,10,FALSE))</f>
        <v/>
      </c>
      <c r="B403" s="143" t="str">
        <f>IF(C403="","",VLOOKUP('Opći dio'!$C$3,'Opći dio'!$L$6:$U$137,9,FALSE))</f>
        <v/>
      </c>
      <c r="C403" s="149"/>
      <c r="D403" s="144" t="str">
        <f t="shared" si="42"/>
        <v/>
      </c>
      <c r="E403" s="149"/>
      <c r="F403" s="144" t="str">
        <f t="shared" si="43"/>
        <v/>
      </c>
      <c r="G403" s="183"/>
      <c r="H403" s="144" t="str">
        <f t="shared" si="44"/>
        <v/>
      </c>
      <c r="I403" s="182"/>
      <c r="J403" s="182"/>
      <c r="K403" s="182"/>
      <c r="M403" s="139" t="str">
        <f t="shared" si="45"/>
        <v/>
      </c>
      <c r="N403" s="139" t="str">
        <f t="shared" si="46"/>
        <v/>
      </c>
    </row>
    <row r="404" spans="1:14">
      <c r="A404" s="143" t="str">
        <f>IF(C404="","",VLOOKUP('Opći dio'!$C$3,'Opći dio'!$L$6:$U$137,10,FALSE))</f>
        <v/>
      </c>
      <c r="B404" s="143" t="str">
        <f>IF(C404="","",VLOOKUP('Opći dio'!$C$3,'Opći dio'!$L$6:$U$137,9,FALSE))</f>
        <v/>
      </c>
      <c r="C404" s="149"/>
      <c r="D404" s="144" t="str">
        <f t="shared" si="42"/>
        <v/>
      </c>
      <c r="E404" s="149"/>
      <c r="F404" s="144" t="str">
        <f t="shared" si="43"/>
        <v/>
      </c>
      <c r="G404" s="183"/>
      <c r="H404" s="144" t="str">
        <f t="shared" si="44"/>
        <v/>
      </c>
      <c r="I404" s="182"/>
      <c r="J404" s="182"/>
      <c r="K404" s="182"/>
      <c r="M404" s="139" t="str">
        <f t="shared" si="45"/>
        <v/>
      </c>
      <c r="N404" s="139" t="str">
        <f t="shared" si="46"/>
        <v/>
      </c>
    </row>
    <row r="405" spans="1:14">
      <c r="A405" s="143" t="str">
        <f>IF(C405="","",VLOOKUP('Opći dio'!$C$3,'Opći dio'!$L$6:$U$137,10,FALSE))</f>
        <v/>
      </c>
      <c r="B405" s="143" t="str">
        <f>IF(C405="","",VLOOKUP('Opći dio'!$C$3,'Opći dio'!$L$6:$U$137,9,FALSE))</f>
        <v/>
      </c>
      <c r="C405" s="149"/>
      <c r="D405" s="144" t="str">
        <f t="shared" si="42"/>
        <v/>
      </c>
      <c r="E405" s="149"/>
      <c r="F405" s="144" t="str">
        <f t="shared" si="43"/>
        <v/>
      </c>
      <c r="G405" s="183"/>
      <c r="H405" s="144" t="str">
        <f t="shared" si="44"/>
        <v/>
      </c>
      <c r="I405" s="182"/>
      <c r="J405" s="182"/>
      <c r="K405" s="182"/>
      <c r="M405" s="139" t="str">
        <f t="shared" si="45"/>
        <v/>
      </c>
      <c r="N405" s="139" t="str">
        <f t="shared" si="46"/>
        <v/>
      </c>
    </row>
    <row r="406" spans="1:14">
      <c r="A406" s="143" t="str">
        <f>IF(C406="","",VLOOKUP('Opći dio'!$C$3,'Opći dio'!$L$6:$U$137,10,FALSE))</f>
        <v/>
      </c>
      <c r="B406" s="143" t="str">
        <f>IF(C406="","",VLOOKUP('Opći dio'!$C$3,'Opći dio'!$L$6:$U$137,9,FALSE))</f>
        <v/>
      </c>
      <c r="C406" s="149"/>
      <c r="D406" s="144" t="str">
        <f t="shared" si="42"/>
        <v/>
      </c>
      <c r="E406" s="149"/>
      <c r="F406" s="144" t="str">
        <f t="shared" si="43"/>
        <v/>
      </c>
      <c r="G406" s="183"/>
      <c r="H406" s="144" t="str">
        <f t="shared" si="44"/>
        <v/>
      </c>
      <c r="I406" s="182"/>
      <c r="J406" s="182"/>
      <c r="K406" s="182"/>
      <c r="M406" s="139" t="str">
        <f t="shared" si="45"/>
        <v/>
      </c>
      <c r="N406" s="139" t="str">
        <f t="shared" si="46"/>
        <v/>
      </c>
    </row>
    <row r="407" spans="1:14">
      <c r="A407" s="143" t="str">
        <f>IF(C407="","",VLOOKUP('Opći dio'!$C$3,'Opći dio'!$L$6:$U$137,10,FALSE))</f>
        <v/>
      </c>
      <c r="B407" s="143" t="str">
        <f>IF(C407="","",VLOOKUP('Opći dio'!$C$3,'Opći dio'!$L$6:$U$137,9,FALSE))</f>
        <v/>
      </c>
      <c r="C407" s="149"/>
      <c r="D407" s="144" t="str">
        <f t="shared" si="42"/>
        <v/>
      </c>
      <c r="E407" s="149"/>
      <c r="F407" s="144" t="str">
        <f t="shared" si="43"/>
        <v/>
      </c>
      <c r="G407" s="183"/>
      <c r="H407" s="144" t="str">
        <f t="shared" si="44"/>
        <v/>
      </c>
      <c r="I407" s="182"/>
      <c r="J407" s="182"/>
      <c r="K407" s="182"/>
      <c r="M407" s="139" t="str">
        <f t="shared" si="45"/>
        <v/>
      </c>
      <c r="N407" s="139" t="str">
        <f t="shared" si="46"/>
        <v/>
      </c>
    </row>
    <row r="408" spans="1:14">
      <c r="A408" s="143" t="str">
        <f>IF(C408="","",VLOOKUP('Opći dio'!$C$3,'Opći dio'!$L$6:$U$137,10,FALSE))</f>
        <v/>
      </c>
      <c r="B408" s="143" t="str">
        <f>IF(C408="","",VLOOKUP('Opći dio'!$C$3,'Opći dio'!$L$6:$U$137,9,FALSE))</f>
        <v/>
      </c>
      <c r="C408" s="149"/>
      <c r="D408" s="144" t="str">
        <f t="shared" si="42"/>
        <v/>
      </c>
      <c r="E408" s="149"/>
      <c r="F408" s="144" t="str">
        <f t="shared" si="43"/>
        <v/>
      </c>
      <c r="G408" s="183"/>
      <c r="H408" s="144" t="str">
        <f t="shared" si="44"/>
        <v/>
      </c>
      <c r="I408" s="182"/>
      <c r="J408" s="182"/>
      <c r="K408" s="182"/>
      <c r="M408" s="139" t="str">
        <f t="shared" si="45"/>
        <v/>
      </c>
      <c r="N408" s="139" t="str">
        <f t="shared" si="46"/>
        <v/>
      </c>
    </row>
    <row r="409" spans="1:14">
      <c r="A409" s="143" t="str">
        <f>IF(C409="","",VLOOKUP('Opći dio'!$C$3,'Opći dio'!$L$6:$U$137,10,FALSE))</f>
        <v/>
      </c>
      <c r="B409" s="143" t="str">
        <f>IF(C409="","",VLOOKUP('Opći dio'!$C$3,'Opći dio'!$L$6:$U$137,9,FALSE))</f>
        <v/>
      </c>
      <c r="C409" s="149"/>
      <c r="D409" s="144" t="str">
        <f t="shared" si="42"/>
        <v/>
      </c>
      <c r="E409" s="149"/>
      <c r="F409" s="144" t="str">
        <f t="shared" si="43"/>
        <v/>
      </c>
      <c r="G409" s="183"/>
      <c r="H409" s="144" t="str">
        <f t="shared" si="44"/>
        <v/>
      </c>
      <c r="I409" s="182"/>
      <c r="J409" s="182"/>
      <c r="K409" s="182"/>
      <c r="M409" s="139" t="str">
        <f t="shared" si="45"/>
        <v/>
      </c>
      <c r="N409" s="139" t="str">
        <f t="shared" si="46"/>
        <v/>
      </c>
    </row>
    <row r="410" spans="1:14">
      <c r="A410" s="143" t="str">
        <f>IF(C410="","",VLOOKUP('Opći dio'!$C$3,'Opći dio'!$L$6:$U$137,10,FALSE))</f>
        <v/>
      </c>
      <c r="B410" s="143" t="str">
        <f>IF(C410="","",VLOOKUP('Opći dio'!$C$3,'Opći dio'!$L$6:$U$137,9,FALSE))</f>
        <v/>
      </c>
      <c r="C410" s="149"/>
      <c r="D410" s="144" t="str">
        <f t="shared" si="42"/>
        <v/>
      </c>
      <c r="E410" s="149"/>
      <c r="F410" s="144" t="str">
        <f t="shared" si="43"/>
        <v/>
      </c>
      <c r="G410" s="183"/>
      <c r="H410" s="144" t="str">
        <f t="shared" si="44"/>
        <v/>
      </c>
      <c r="I410" s="182"/>
      <c r="J410" s="182"/>
      <c r="K410" s="182"/>
      <c r="M410" s="139" t="str">
        <f t="shared" si="45"/>
        <v/>
      </c>
      <c r="N410" s="139" t="str">
        <f t="shared" si="46"/>
        <v/>
      </c>
    </row>
    <row r="411" spans="1:14">
      <c r="A411" s="143" t="str">
        <f>IF(C411="","",VLOOKUP('Opći dio'!$C$3,'Opći dio'!$L$6:$U$137,10,FALSE))</f>
        <v/>
      </c>
      <c r="B411" s="143" t="str">
        <f>IF(C411="","",VLOOKUP('Opći dio'!$C$3,'Opći dio'!$L$6:$U$137,9,FALSE))</f>
        <v/>
      </c>
      <c r="C411" s="149"/>
      <c r="D411" s="144" t="str">
        <f t="shared" si="42"/>
        <v/>
      </c>
      <c r="E411" s="149"/>
      <c r="F411" s="144" t="str">
        <f t="shared" si="43"/>
        <v/>
      </c>
      <c r="G411" s="183"/>
      <c r="H411" s="144" t="str">
        <f t="shared" si="44"/>
        <v/>
      </c>
      <c r="I411" s="182"/>
      <c r="J411" s="182"/>
      <c r="K411" s="182"/>
      <c r="M411" s="139" t="str">
        <f t="shared" si="45"/>
        <v/>
      </c>
      <c r="N411" s="139" t="str">
        <f t="shared" si="46"/>
        <v/>
      </c>
    </row>
    <row r="412" spans="1:14">
      <c r="A412" s="143" t="str">
        <f>IF(C412="","",VLOOKUP('Opći dio'!$C$3,'Opći dio'!$L$6:$U$137,10,FALSE))</f>
        <v/>
      </c>
      <c r="B412" s="143" t="str">
        <f>IF(C412="","",VLOOKUP('Opći dio'!$C$3,'Opći dio'!$L$6:$U$137,9,FALSE))</f>
        <v/>
      </c>
      <c r="C412" s="149"/>
      <c r="D412" s="144" t="str">
        <f t="shared" si="42"/>
        <v/>
      </c>
      <c r="E412" s="149"/>
      <c r="F412" s="144" t="str">
        <f t="shared" si="43"/>
        <v/>
      </c>
      <c r="G412" s="183"/>
      <c r="H412" s="144" t="str">
        <f t="shared" si="44"/>
        <v/>
      </c>
      <c r="I412" s="182"/>
      <c r="J412" s="182"/>
      <c r="K412" s="182"/>
      <c r="M412" s="139" t="str">
        <f t="shared" si="45"/>
        <v/>
      </c>
      <c r="N412" s="139" t="str">
        <f t="shared" si="46"/>
        <v/>
      </c>
    </row>
    <row r="413" spans="1:14">
      <c r="A413" s="143" t="str">
        <f>IF(C413="","",VLOOKUP('Opći dio'!$C$3,'Opći dio'!$L$6:$U$137,10,FALSE))</f>
        <v/>
      </c>
      <c r="B413" s="143" t="str">
        <f>IF(C413="","",VLOOKUP('Opći dio'!$C$3,'Opći dio'!$L$6:$U$137,9,FALSE))</f>
        <v/>
      </c>
      <c r="C413" s="149"/>
      <c r="D413" s="144" t="str">
        <f t="shared" si="42"/>
        <v/>
      </c>
      <c r="E413" s="149"/>
      <c r="F413" s="144" t="str">
        <f t="shared" si="43"/>
        <v/>
      </c>
      <c r="G413" s="183"/>
      <c r="H413" s="144" t="str">
        <f t="shared" si="44"/>
        <v/>
      </c>
      <c r="I413" s="182"/>
      <c r="J413" s="182"/>
      <c r="K413" s="182"/>
      <c r="M413" s="139" t="str">
        <f t="shared" si="45"/>
        <v/>
      </c>
      <c r="N413" s="139" t="str">
        <f t="shared" si="46"/>
        <v/>
      </c>
    </row>
    <row r="414" spans="1:14">
      <c r="A414" s="143" t="str">
        <f>IF(C414="","",VLOOKUP('Opći dio'!$C$3,'Opći dio'!$L$6:$U$137,10,FALSE))</f>
        <v/>
      </c>
      <c r="B414" s="143" t="str">
        <f>IF(C414="","",VLOOKUP('Opći dio'!$C$3,'Opći dio'!$L$6:$U$137,9,FALSE))</f>
        <v/>
      </c>
      <c r="C414" s="149"/>
      <c r="D414" s="144" t="str">
        <f t="shared" si="42"/>
        <v/>
      </c>
      <c r="E414" s="149"/>
      <c r="F414" s="144" t="str">
        <f t="shared" si="43"/>
        <v/>
      </c>
      <c r="G414" s="183"/>
      <c r="H414" s="144" t="str">
        <f t="shared" si="44"/>
        <v/>
      </c>
      <c r="I414" s="182"/>
      <c r="J414" s="182"/>
      <c r="K414" s="182"/>
      <c r="M414" s="139" t="str">
        <f t="shared" si="45"/>
        <v/>
      </c>
      <c r="N414" s="139" t="str">
        <f t="shared" si="46"/>
        <v/>
      </c>
    </row>
    <row r="415" spans="1:14">
      <c r="A415" s="143" t="str">
        <f>IF(C415="","",VLOOKUP('Opći dio'!$C$3,'Opći dio'!$L$6:$U$137,10,FALSE))</f>
        <v/>
      </c>
      <c r="B415" s="143" t="str">
        <f>IF(C415="","",VLOOKUP('Opći dio'!$C$3,'Opći dio'!$L$6:$U$137,9,FALSE))</f>
        <v/>
      </c>
      <c r="C415" s="149"/>
      <c r="D415" s="144" t="str">
        <f t="shared" si="42"/>
        <v/>
      </c>
      <c r="E415" s="149"/>
      <c r="F415" s="144" t="str">
        <f t="shared" si="43"/>
        <v/>
      </c>
      <c r="G415" s="183"/>
      <c r="H415" s="144" t="str">
        <f t="shared" si="44"/>
        <v/>
      </c>
      <c r="I415" s="182"/>
      <c r="J415" s="182"/>
      <c r="K415" s="182"/>
      <c r="M415" s="139" t="str">
        <f t="shared" si="45"/>
        <v/>
      </c>
      <c r="N415" s="139" t="str">
        <f t="shared" si="46"/>
        <v/>
      </c>
    </row>
    <row r="416" spans="1:14">
      <c r="A416" s="143" t="str">
        <f>IF(C416="","",VLOOKUP('Opći dio'!$C$3,'Opći dio'!$L$6:$U$137,10,FALSE))</f>
        <v/>
      </c>
      <c r="B416" s="143" t="str">
        <f>IF(C416="","",VLOOKUP('Opći dio'!$C$3,'Opći dio'!$L$6:$U$137,9,FALSE))</f>
        <v/>
      </c>
      <c r="C416" s="149"/>
      <c r="D416" s="144" t="str">
        <f t="shared" si="42"/>
        <v/>
      </c>
      <c r="E416" s="149"/>
      <c r="F416" s="144" t="str">
        <f t="shared" si="43"/>
        <v/>
      </c>
      <c r="G416" s="183"/>
      <c r="H416" s="144" t="str">
        <f t="shared" si="44"/>
        <v/>
      </c>
      <c r="I416" s="182"/>
      <c r="J416" s="182"/>
      <c r="K416" s="182"/>
      <c r="M416" s="139" t="str">
        <f t="shared" si="45"/>
        <v/>
      </c>
      <c r="N416" s="139" t="str">
        <f t="shared" si="46"/>
        <v/>
      </c>
    </row>
    <row r="417" spans="1:14">
      <c r="A417" s="143" t="str">
        <f>IF(C417="","",VLOOKUP('Opći dio'!$C$3,'Opći dio'!$L$6:$U$137,10,FALSE))</f>
        <v/>
      </c>
      <c r="B417" s="143" t="str">
        <f>IF(C417="","",VLOOKUP('Opći dio'!$C$3,'Opći dio'!$L$6:$U$137,9,FALSE))</f>
        <v/>
      </c>
      <c r="C417" s="149"/>
      <c r="D417" s="144" t="str">
        <f t="shared" si="42"/>
        <v/>
      </c>
      <c r="E417" s="149"/>
      <c r="F417" s="144" t="str">
        <f t="shared" si="43"/>
        <v/>
      </c>
      <c r="G417" s="183"/>
      <c r="H417" s="144" t="str">
        <f t="shared" si="44"/>
        <v/>
      </c>
      <c r="I417" s="182"/>
      <c r="J417" s="182"/>
      <c r="K417" s="182"/>
      <c r="M417" s="139" t="str">
        <f t="shared" si="45"/>
        <v/>
      </c>
      <c r="N417" s="139" t="str">
        <f t="shared" si="46"/>
        <v/>
      </c>
    </row>
    <row r="418" spans="1:14">
      <c r="A418" s="143" t="str">
        <f>IF(C418="","",VLOOKUP('Opći dio'!$C$3,'Opći dio'!$L$6:$U$137,10,FALSE))</f>
        <v/>
      </c>
      <c r="B418" s="143" t="str">
        <f>IF(C418="","",VLOOKUP('Opći dio'!$C$3,'Opći dio'!$L$6:$U$137,9,FALSE))</f>
        <v/>
      </c>
      <c r="C418" s="149"/>
      <c r="D418" s="144" t="str">
        <f t="shared" si="42"/>
        <v/>
      </c>
      <c r="E418" s="149"/>
      <c r="F418" s="144" t="str">
        <f t="shared" si="43"/>
        <v/>
      </c>
      <c r="G418" s="183"/>
      <c r="H418" s="144" t="str">
        <f t="shared" si="44"/>
        <v/>
      </c>
      <c r="I418" s="182"/>
      <c r="J418" s="182"/>
      <c r="K418" s="182"/>
      <c r="M418" s="139" t="str">
        <f t="shared" si="45"/>
        <v/>
      </c>
      <c r="N418" s="139" t="str">
        <f t="shared" si="46"/>
        <v/>
      </c>
    </row>
    <row r="419" spans="1:14">
      <c r="A419" s="143" t="str">
        <f>IF(C419="","",VLOOKUP('Opći dio'!$C$3,'Opći dio'!$L$6:$U$137,10,FALSE))</f>
        <v/>
      </c>
      <c r="B419" s="143" t="str">
        <f>IF(C419="","",VLOOKUP('Opći dio'!$C$3,'Opći dio'!$L$6:$U$137,9,FALSE))</f>
        <v/>
      </c>
      <c r="C419" s="149"/>
      <c r="D419" s="144" t="str">
        <f t="shared" si="42"/>
        <v/>
      </c>
      <c r="E419" s="149"/>
      <c r="F419" s="144" t="str">
        <f t="shared" si="43"/>
        <v/>
      </c>
      <c r="G419" s="183"/>
      <c r="H419" s="144" t="str">
        <f t="shared" si="44"/>
        <v/>
      </c>
      <c r="I419" s="182"/>
      <c r="J419" s="182"/>
      <c r="K419" s="182"/>
      <c r="M419" s="139" t="str">
        <f t="shared" si="45"/>
        <v/>
      </c>
      <c r="N419" s="139" t="str">
        <f t="shared" si="46"/>
        <v/>
      </c>
    </row>
    <row r="420" spans="1:14">
      <c r="A420" s="143" t="str">
        <f>IF(C420="","",VLOOKUP('Opći dio'!$C$3,'Opći dio'!$L$6:$U$137,10,FALSE))</f>
        <v/>
      </c>
      <c r="B420" s="143" t="str">
        <f>IF(C420="","",VLOOKUP('Opći dio'!$C$3,'Opći dio'!$L$6:$U$137,9,FALSE))</f>
        <v/>
      </c>
      <c r="C420" s="149"/>
      <c r="D420" s="144" t="str">
        <f t="shared" si="42"/>
        <v/>
      </c>
      <c r="E420" s="149"/>
      <c r="F420" s="144" t="str">
        <f t="shared" si="43"/>
        <v/>
      </c>
      <c r="G420" s="183"/>
      <c r="H420" s="144" t="str">
        <f t="shared" si="44"/>
        <v/>
      </c>
      <c r="I420" s="182"/>
      <c r="J420" s="182"/>
      <c r="K420" s="182"/>
      <c r="M420" s="139" t="str">
        <f t="shared" si="45"/>
        <v/>
      </c>
      <c r="N420" s="139" t="str">
        <f t="shared" si="46"/>
        <v/>
      </c>
    </row>
    <row r="421" spans="1:14">
      <c r="A421" s="143" t="str">
        <f>IF(C421="","",VLOOKUP('Opći dio'!$C$3,'Opći dio'!$L$6:$U$137,10,FALSE))</f>
        <v/>
      </c>
      <c r="B421" s="143" t="str">
        <f>IF(C421="","",VLOOKUP('Opći dio'!$C$3,'Opći dio'!$L$6:$U$137,9,FALSE))</f>
        <v/>
      </c>
      <c r="C421" s="149"/>
      <c r="D421" s="144" t="str">
        <f t="shared" si="42"/>
        <v/>
      </c>
      <c r="E421" s="149"/>
      <c r="F421" s="144" t="str">
        <f t="shared" si="43"/>
        <v/>
      </c>
      <c r="G421" s="183"/>
      <c r="H421" s="144" t="str">
        <f t="shared" si="44"/>
        <v/>
      </c>
      <c r="I421" s="182"/>
      <c r="J421" s="182"/>
      <c r="K421" s="182"/>
      <c r="M421" s="139" t="str">
        <f t="shared" si="45"/>
        <v/>
      </c>
      <c r="N421" s="139" t="str">
        <f t="shared" si="46"/>
        <v/>
      </c>
    </row>
    <row r="422" spans="1:14">
      <c r="A422" s="143" t="str">
        <f>IF(C422="","",VLOOKUP('Opći dio'!$C$3,'Opći dio'!$L$6:$U$137,10,FALSE))</f>
        <v/>
      </c>
      <c r="B422" s="143" t="str">
        <f>IF(C422="","",VLOOKUP('Opći dio'!$C$3,'Opći dio'!$L$6:$U$137,9,FALSE))</f>
        <v/>
      </c>
      <c r="C422" s="149"/>
      <c r="D422" s="144" t="str">
        <f t="shared" si="42"/>
        <v/>
      </c>
      <c r="E422" s="149"/>
      <c r="F422" s="144" t="str">
        <f t="shared" si="43"/>
        <v/>
      </c>
      <c r="G422" s="183"/>
      <c r="H422" s="144" t="str">
        <f t="shared" si="44"/>
        <v/>
      </c>
      <c r="I422" s="182"/>
      <c r="J422" s="182"/>
      <c r="K422" s="182"/>
      <c r="M422" s="139" t="str">
        <f t="shared" si="45"/>
        <v/>
      </c>
      <c r="N422" s="139" t="str">
        <f t="shared" si="46"/>
        <v/>
      </c>
    </row>
    <row r="423" spans="1:14">
      <c r="A423" s="143" t="str">
        <f>IF(C423="","",VLOOKUP('Opći dio'!$C$3,'Opći dio'!$L$6:$U$137,10,FALSE))</f>
        <v/>
      </c>
      <c r="B423" s="143" t="str">
        <f>IF(C423="","",VLOOKUP('Opći dio'!$C$3,'Opći dio'!$L$6:$U$137,9,FALSE))</f>
        <v/>
      </c>
      <c r="C423" s="149"/>
      <c r="D423" s="144" t="str">
        <f t="shared" si="42"/>
        <v/>
      </c>
      <c r="E423" s="149"/>
      <c r="F423" s="144" t="str">
        <f t="shared" si="43"/>
        <v/>
      </c>
      <c r="G423" s="183"/>
      <c r="H423" s="144" t="str">
        <f t="shared" si="44"/>
        <v/>
      </c>
      <c r="I423" s="182"/>
      <c r="J423" s="182"/>
      <c r="K423" s="182"/>
      <c r="M423" s="139" t="str">
        <f t="shared" si="45"/>
        <v/>
      </c>
      <c r="N423" s="139" t="str">
        <f t="shared" si="46"/>
        <v/>
      </c>
    </row>
    <row r="424" spans="1:14">
      <c r="A424" s="143" t="str">
        <f>IF(C424="","",VLOOKUP('Opći dio'!$C$3,'Opći dio'!$L$6:$U$137,10,FALSE))</f>
        <v/>
      </c>
      <c r="B424" s="143" t="str">
        <f>IF(C424="","",VLOOKUP('Opći dio'!$C$3,'Opći dio'!$L$6:$U$137,9,FALSE))</f>
        <v/>
      </c>
      <c r="C424" s="149"/>
      <c r="D424" s="144" t="str">
        <f t="shared" si="42"/>
        <v/>
      </c>
      <c r="E424" s="149"/>
      <c r="F424" s="144" t="str">
        <f t="shared" si="43"/>
        <v/>
      </c>
      <c r="G424" s="183"/>
      <c r="H424" s="144" t="str">
        <f t="shared" si="44"/>
        <v/>
      </c>
      <c r="I424" s="182"/>
      <c r="J424" s="182"/>
      <c r="K424" s="182"/>
      <c r="M424" s="139" t="str">
        <f t="shared" si="45"/>
        <v/>
      </c>
      <c r="N424" s="139" t="str">
        <f t="shared" si="46"/>
        <v/>
      </c>
    </row>
    <row r="425" spans="1:14">
      <c r="A425" s="143" t="str">
        <f>IF(C425="","",VLOOKUP('Opći dio'!$C$3,'Opći dio'!$L$6:$U$137,10,FALSE))</f>
        <v/>
      </c>
      <c r="B425" s="143" t="str">
        <f>IF(C425="","",VLOOKUP('Opći dio'!$C$3,'Opći dio'!$L$6:$U$137,9,FALSE))</f>
        <v/>
      </c>
      <c r="C425" s="149"/>
      <c r="D425" s="144" t="str">
        <f t="shared" si="42"/>
        <v/>
      </c>
      <c r="E425" s="149"/>
      <c r="F425" s="144" t="str">
        <f t="shared" si="43"/>
        <v/>
      </c>
      <c r="G425" s="183"/>
      <c r="H425" s="144" t="str">
        <f t="shared" si="44"/>
        <v/>
      </c>
      <c r="I425" s="182"/>
      <c r="J425" s="182"/>
      <c r="K425" s="182"/>
      <c r="M425" s="139" t="str">
        <f t="shared" si="45"/>
        <v/>
      </c>
      <c r="N425" s="139" t="str">
        <f t="shared" si="46"/>
        <v/>
      </c>
    </row>
    <row r="426" spans="1:14">
      <c r="A426" s="143" t="str">
        <f>IF(C426="","",VLOOKUP('Opći dio'!$C$3,'Opći dio'!$L$6:$U$137,10,FALSE))</f>
        <v/>
      </c>
      <c r="B426" s="143" t="str">
        <f>IF(C426="","",VLOOKUP('Opći dio'!$C$3,'Opći dio'!$L$6:$U$137,9,FALSE))</f>
        <v/>
      </c>
      <c r="C426" s="149"/>
      <c r="D426" s="144" t="str">
        <f t="shared" si="42"/>
        <v/>
      </c>
      <c r="E426" s="149"/>
      <c r="F426" s="144" t="str">
        <f t="shared" si="43"/>
        <v/>
      </c>
      <c r="G426" s="183"/>
      <c r="H426" s="144" t="str">
        <f t="shared" si="44"/>
        <v/>
      </c>
      <c r="I426" s="182"/>
      <c r="J426" s="182"/>
      <c r="K426" s="182"/>
      <c r="M426" s="139" t="str">
        <f t="shared" si="45"/>
        <v/>
      </c>
      <c r="N426" s="139" t="str">
        <f t="shared" si="46"/>
        <v/>
      </c>
    </row>
    <row r="427" spans="1:14">
      <c r="A427" s="143" t="str">
        <f>IF(C427="","",VLOOKUP('Opći dio'!$C$3,'Opći dio'!$L$6:$U$137,10,FALSE))</f>
        <v/>
      </c>
      <c r="B427" s="143" t="str">
        <f>IF(C427="","",VLOOKUP('Opći dio'!$C$3,'Opći dio'!$L$6:$U$137,9,FALSE))</f>
        <v/>
      </c>
      <c r="C427" s="149"/>
      <c r="D427" s="144" t="str">
        <f t="shared" si="42"/>
        <v/>
      </c>
      <c r="E427" s="149"/>
      <c r="F427" s="144" t="str">
        <f t="shared" si="43"/>
        <v/>
      </c>
      <c r="G427" s="183"/>
      <c r="H427" s="144" t="str">
        <f t="shared" si="44"/>
        <v/>
      </c>
      <c r="I427" s="182"/>
      <c r="J427" s="182"/>
      <c r="K427" s="182"/>
      <c r="M427" s="139" t="str">
        <f t="shared" si="45"/>
        <v/>
      </c>
      <c r="N427" s="139" t="str">
        <f t="shared" si="46"/>
        <v/>
      </c>
    </row>
    <row r="428" spans="1:14">
      <c r="A428" s="143" t="str">
        <f>IF(C428="","",VLOOKUP('Opći dio'!$C$3,'Opći dio'!$L$6:$U$137,10,FALSE))</f>
        <v/>
      </c>
      <c r="B428" s="143" t="str">
        <f>IF(C428="","",VLOOKUP('Opći dio'!$C$3,'Opći dio'!$L$6:$U$137,9,FALSE))</f>
        <v/>
      </c>
      <c r="C428" s="149"/>
      <c r="D428" s="144" t="str">
        <f t="shared" si="42"/>
        <v/>
      </c>
      <c r="E428" s="149"/>
      <c r="F428" s="144" t="str">
        <f t="shared" si="43"/>
        <v/>
      </c>
      <c r="G428" s="183"/>
      <c r="H428" s="144" t="str">
        <f t="shared" si="44"/>
        <v/>
      </c>
      <c r="I428" s="182"/>
      <c r="J428" s="182"/>
      <c r="K428" s="182"/>
      <c r="M428" s="139" t="str">
        <f t="shared" si="45"/>
        <v/>
      </c>
      <c r="N428" s="139" t="str">
        <f t="shared" si="46"/>
        <v/>
      </c>
    </row>
    <row r="429" spans="1:14">
      <c r="A429" s="143" t="str">
        <f>IF(C429="","",VLOOKUP('Opći dio'!$C$3,'Opći dio'!$L$6:$U$137,10,FALSE))</f>
        <v/>
      </c>
      <c r="B429" s="143" t="str">
        <f>IF(C429="","",VLOOKUP('Opći dio'!$C$3,'Opći dio'!$L$6:$U$137,9,FALSE))</f>
        <v/>
      </c>
      <c r="C429" s="149"/>
      <c r="D429" s="144" t="str">
        <f t="shared" si="42"/>
        <v/>
      </c>
      <c r="E429" s="149"/>
      <c r="F429" s="144" t="str">
        <f t="shared" si="43"/>
        <v/>
      </c>
      <c r="G429" s="183"/>
      <c r="H429" s="144" t="str">
        <f t="shared" si="44"/>
        <v/>
      </c>
      <c r="I429" s="182"/>
      <c r="J429" s="182"/>
      <c r="K429" s="182"/>
      <c r="M429" s="139" t="str">
        <f t="shared" si="45"/>
        <v/>
      </c>
      <c r="N429" s="139" t="str">
        <f t="shared" si="46"/>
        <v/>
      </c>
    </row>
    <row r="430" spans="1:14">
      <c r="A430" s="143" t="str">
        <f>IF(C430="","",VLOOKUP('Opći dio'!$C$3,'Opći dio'!$L$6:$U$137,10,FALSE))</f>
        <v/>
      </c>
      <c r="B430" s="143" t="str">
        <f>IF(C430="","",VLOOKUP('Opći dio'!$C$3,'Opći dio'!$L$6:$U$137,9,FALSE))</f>
        <v/>
      </c>
      <c r="C430" s="149"/>
      <c r="D430" s="144" t="str">
        <f t="shared" si="42"/>
        <v/>
      </c>
      <c r="E430" s="149"/>
      <c r="F430" s="144" t="str">
        <f t="shared" si="43"/>
        <v/>
      </c>
      <c r="G430" s="183"/>
      <c r="H430" s="144" t="str">
        <f t="shared" si="44"/>
        <v/>
      </c>
      <c r="I430" s="182"/>
      <c r="J430" s="182"/>
      <c r="K430" s="182"/>
      <c r="M430" s="139" t="str">
        <f t="shared" si="45"/>
        <v/>
      </c>
      <c r="N430" s="139" t="str">
        <f t="shared" si="46"/>
        <v/>
      </c>
    </row>
    <row r="431" spans="1:14">
      <c r="A431" s="143" t="str">
        <f>IF(C431="","",VLOOKUP('Opći dio'!$C$3,'Opći dio'!$L$6:$U$137,10,FALSE))</f>
        <v/>
      </c>
      <c r="B431" s="143" t="str">
        <f>IF(C431="","",VLOOKUP('Opći dio'!$C$3,'Opći dio'!$L$6:$U$137,9,FALSE))</f>
        <v/>
      </c>
      <c r="C431" s="149"/>
      <c r="D431" s="144" t="str">
        <f t="shared" si="42"/>
        <v/>
      </c>
      <c r="E431" s="149"/>
      <c r="F431" s="144" t="str">
        <f t="shared" si="43"/>
        <v/>
      </c>
      <c r="G431" s="183"/>
      <c r="H431" s="144" t="str">
        <f t="shared" si="44"/>
        <v/>
      </c>
      <c r="I431" s="182"/>
      <c r="J431" s="182"/>
      <c r="K431" s="182"/>
      <c r="M431" s="139" t="str">
        <f t="shared" si="45"/>
        <v/>
      </c>
      <c r="N431" s="139" t="str">
        <f t="shared" si="46"/>
        <v/>
      </c>
    </row>
    <row r="432" spans="1:14">
      <c r="A432" s="143" t="str">
        <f>IF(C432="","",VLOOKUP('Opći dio'!$C$3,'Opći dio'!$L$6:$U$137,10,FALSE))</f>
        <v/>
      </c>
      <c r="B432" s="143" t="str">
        <f>IF(C432="","",VLOOKUP('Opći dio'!$C$3,'Opći dio'!$L$6:$U$137,9,FALSE))</f>
        <v/>
      </c>
      <c r="C432" s="149"/>
      <c r="D432" s="144" t="str">
        <f t="shared" si="42"/>
        <v/>
      </c>
      <c r="E432" s="149"/>
      <c r="F432" s="144" t="str">
        <f t="shared" si="43"/>
        <v/>
      </c>
      <c r="G432" s="183"/>
      <c r="H432" s="144" t="str">
        <f t="shared" si="44"/>
        <v/>
      </c>
      <c r="I432" s="182"/>
      <c r="J432" s="182"/>
      <c r="K432" s="182"/>
      <c r="M432" s="139" t="str">
        <f t="shared" si="45"/>
        <v/>
      </c>
      <c r="N432" s="139" t="str">
        <f t="shared" si="46"/>
        <v/>
      </c>
    </row>
    <row r="433" spans="1:14">
      <c r="A433" s="143" t="str">
        <f>IF(C433="","",VLOOKUP('Opći dio'!$C$3,'Opći dio'!$L$6:$U$137,10,FALSE))</f>
        <v/>
      </c>
      <c r="B433" s="143" t="str">
        <f>IF(C433="","",VLOOKUP('Opći dio'!$C$3,'Opći dio'!$L$6:$U$137,9,FALSE))</f>
        <v/>
      </c>
      <c r="C433" s="149"/>
      <c r="D433" s="144" t="str">
        <f t="shared" si="42"/>
        <v/>
      </c>
      <c r="E433" s="149"/>
      <c r="F433" s="144" t="str">
        <f t="shared" si="43"/>
        <v/>
      </c>
      <c r="G433" s="183"/>
      <c r="H433" s="144" t="str">
        <f t="shared" si="44"/>
        <v/>
      </c>
      <c r="I433" s="182"/>
      <c r="J433" s="182"/>
      <c r="K433" s="182"/>
      <c r="M433" s="139" t="str">
        <f t="shared" si="45"/>
        <v/>
      </c>
      <c r="N433" s="139" t="str">
        <f t="shared" si="46"/>
        <v/>
      </c>
    </row>
    <row r="434" spans="1:14">
      <c r="A434" s="143" t="str">
        <f>IF(C434="","",VLOOKUP('Opći dio'!$C$3,'Opći dio'!$L$6:$U$137,10,FALSE))</f>
        <v/>
      </c>
      <c r="B434" s="143" t="str">
        <f>IF(C434="","",VLOOKUP('Opći dio'!$C$3,'Opći dio'!$L$6:$U$137,9,FALSE))</f>
        <v/>
      </c>
      <c r="C434" s="149"/>
      <c r="D434" s="144" t="str">
        <f t="shared" si="42"/>
        <v/>
      </c>
      <c r="E434" s="149"/>
      <c r="F434" s="144" t="str">
        <f t="shared" si="43"/>
        <v/>
      </c>
      <c r="G434" s="183"/>
      <c r="H434" s="144" t="str">
        <f t="shared" si="44"/>
        <v/>
      </c>
      <c r="I434" s="182"/>
      <c r="J434" s="182"/>
      <c r="K434" s="182"/>
      <c r="M434" s="139" t="str">
        <f t="shared" si="45"/>
        <v/>
      </c>
      <c r="N434" s="139" t="str">
        <f t="shared" si="46"/>
        <v/>
      </c>
    </row>
    <row r="435" spans="1:14">
      <c r="A435" s="143" t="str">
        <f>IF(C435="","",VLOOKUP('Opći dio'!$C$3,'Opći dio'!$L$6:$U$137,10,FALSE))</f>
        <v/>
      </c>
      <c r="B435" s="143" t="str">
        <f>IF(C435="","",VLOOKUP('Opći dio'!$C$3,'Opći dio'!$L$6:$U$137,9,FALSE))</f>
        <v/>
      </c>
      <c r="C435" s="149"/>
      <c r="D435" s="144" t="str">
        <f t="shared" si="42"/>
        <v/>
      </c>
      <c r="E435" s="149"/>
      <c r="F435" s="144" t="str">
        <f t="shared" si="43"/>
        <v/>
      </c>
      <c r="G435" s="183"/>
      <c r="H435" s="144" t="str">
        <f t="shared" si="44"/>
        <v/>
      </c>
      <c r="I435" s="182"/>
      <c r="J435" s="182"/>
      <c r="K435" s="182"/>
      <c r="M435" s="139" t="str">
        <f t="shared" si="45"/>
        <v/>
      </c>
      <c r="N435" s="139" t="str">
        <f t="shared" si="46"/>
        <v/>
      </c>
    </row>
    <row r="436" spans="1:14">
      <c r="A436" s="143" t="str">
        <f>IF(C436="","",VLOOKUP('Opći dio'!$C$3,'Opći dio'!$L$6:$U$137,10,FALSE))</f>
        <v/>
      </c>
      <c r="B436" s="143" t="str">
        <f>IF(C436="","",VLOOKUP('Opći dio'!$C$3,'Opći dio'!$L$6:$U$137,9,FALSE))</f>
        <v/>
      </c>
      <c r="C436" s="149"/>
      <c r="D436" s="144" t="str">
        <f t="shared" si="42"/>
        <v/>
      </c>
      <c r="E436" s="149"/>
      <c r="F436" s="144" t="str">
        <f t="shared" si="43"/>
        <v/>
      </c>
      <c r="G436" s="183"/>
      <c r="H436" s="144" t="str">
        <f t="shared" si="44"/>
        <v/>
      </c>
      <c r="I436" s="182"/>
      <c r="J436" s="182"/>
      <c r="K436" s="182"/>
      <c r="M436" s="139" t="str">
        <f t="shared" si="45"/>
        <v/>
      </c>
      <c r="N436" s="139" t="str">
        <f t="shared" si="46"/>
        <v/>
      </c>
    </row>
    <row r="437" spans="1:14">
      <c r="A437" s="143" t="str">
        <f>IF(C437="","",VLOOKUP('Opći dio'!$C$3,'Opći dio'!$L$6:$U$137,10,FALSE))</f>
        <v/>
      </c>
      <c r="B437" s="143" t="str">
        <f>IF(C437="","",VLOOKUP('Opći dio'!$C$3,'Opći dio'!$L$6:$U$137,9,FALSE))</f>
        <v/>
      </c>
      <c r="C437" s="149"/>
      <c r="D437" s="144" t="str">
        <f t="shared" si="42"/>
        <v/>
      </c>
      <c r="E437" s="149"/>
      <c r="F437" s="144" t="str">
        <f t="shared" si="43"/>
        <v/>
      </c>
      <c r="G437" s="183"/>
      <c r="H437" s="144" t="str">
        <f t="shared" si="44"/>
        <v/>
      </c>
      <c r="I437" s="182"/>
      <c r="J437" s="182"/>
      <c r="K437" s="182"/>
      <c r="M437" s="139" t="str">
        <f t="shared" si="45"/>
        <v/>
      </c>
      <c r="N437" s="139" t="str">
        <f t="shared" si="46"/>
        <v/>
      </c>
    </row>
    <row r="438" spans="1:14">
      <c r="A438" s="143" t="str">
        <f>IF(C438="","",VLOOKUP('Opći dio'!$C$3,'Opći dio'!$L$6:$U$137,10,FALSE))</f>
        <v/>
      </c>
      <c r="B438" s="143" t="str">
        <f>IF(C438="","",VLOOKUP('Opći dio'!$C$3,'Opći dio'!$L$6:$U$137,9,FALSE))</f>
        <v/>
      </c>
      <c r="C438" s="149"/>
      <c r="D438" s="144" t="str">
        <f t="shared" si="42"/>
        <v/>
      </c>
      <c r="E438" s="149"/>
      <c r="F438" s="144" t="str">
        <f t="shared" si="43"/>
        <v/>
      </c>
      <c r="G438" s="183"/>
      <c r="H438" s="144" t="str">
        <f t="shared" si="44"/>
        <v/>
      </c>
      <c r="I438" s="182"/>
      <c r="J438" s="182"/>
      <c r="K438" s="182"/>
      <c r="M438" s="139" t="str">
        <f t="shared" si="45"/>
        <v/>
      </c>
      <c r="N438" s="139" t="str">
        <f t="shared" si="46"/>
        <v/>
      </c>
    </row>
    <row r="439" spans="1:14">
      <c r="A439" s="143" t="str">
        <f>IF(C439="","",VLOOKUP('Opći dio'!$C$3,'Opći dio'!$L$6:$U$137,10,FALSE))</f>
        <v/>
      </c>
      <c r="B439" s="143" t="str">
        <f>IF(C439="","",VLOOKUP('Opći dio'!$C$3,'Opći dio'!$L$6:$U$137,9,FALSE))</f>
        <v/>
      </c>
      <c r="C439" s="149"/>
      <c r="D439" s="144" t="str">
        <f t="shared" si="42"/>
        <v/>
      </c>
      <c r="E439" s="149"/>
      <c r="F439" s="144" t="str">
        <f t="shared" si="43"/>
        <v/>
      </c>
      <c r="G439" s="183"/>
      <c r="H439" s="144" t="str">
        <f t="shared" si="44"/>
        <v/>
      </c>
      <c r="I439" s="182"/>
      <c r="J439" s="182"/>
      <c r="K439" s="182"/>
      <c r="M439" s="139" t="str">
        <f t="shared" si="45"/>
        <v/>
      </c>
      <c r="N439" s="139" t="str">
        <f t="shared" si="46"/>
        <v/>
      </c>
    </row>
    <row r="440" spans="1:14">
      <c r="A440" s="143" t="str">
        <f>IF(C440="","",VLOOKUP('Opći dio'!$C$3,'Opći dio'!$L$6:$U$137,10,FALSE))</f>
        <v/>
      </c>
      <c r="B440" s="143" t="str">
        <f>IF(C440="","",VLOOKUP('Opći dio'!$C$3,'Opći dio'!$L$6:$U$137,9,FALSE))</f>
        <v/>
      </c>
      <c r="C440" s="149"/>
      <c r="D440" s="144" t="str">
        <f t="shared" si="42"/>
        <v/>
      </c>
      <c r="E440" s="149"/>
      <c r="F440" s="144" t="str">
        <f t="shared" si="43"/>
        <v/>
      </c>
      <c r="G440" s="183"/>
      <c r="H440" s="144" t="str">
        <f t="shared" si="44"/>
        <v/>
      </c>
      <c r="I440" s="182"/>
      <c r="J440" s="182"/>
      <c r="K440" s="182"/>
      <c r="M440" s="139" t="str">
        <f t="shared" si="45"/>
        <v/>
      </c>
      <c r="N440" s="139" t="str">
        <f t="shared" si="46"/>
        <v/>
      </c>
    </row>
    <row r="441" spans="1:14">
      <c r="A441" s="143" t="str">
        <f>IF(C441="","",VLOOKUP('Opći dio'!$C$3,'Opći dio'!$L$6:$U$137,10,FALSE))</f>
        <v/>
      </c>
      <c r="B441" s="143" t="str">
        <f>IF(C441="","",VLOOKUP('Opći dio'!$C$3,'Opći dio'!$L$6:$U$137,9,FALSE))</f>
        <v/>
      </c>
      <c r="C441" s="149"/>
      <c r="D441" s="144" t="str">
        <f t="shared" si="42"/>
        <v/>
      </c>
      <c r="E441" s="149"/>
      <c r="F441" s="144" t="str">
        <f t="shared" si="43"/>
        <v/>
      </c>
      <c r="G441" s="183"/>
      <c r="H441" s="144" t="str">
        <f t="shared" si="44"/>
        <v/>
      </c>
      <c r="I441" s="182"/>
      <c r="J441" s="182"/>
      <c r="K441" s="182"/>
      <c r="M441" s="139" t="str">
        <f t="shared" si="45"/>
        <v/>
      </c>
      <c r="N441" s="139" t="str">
        <f t="shared" si="46"/>
        <v/>
      </c>
    </row>
    <row r="442" spans="1:14">
      <c r="A442" s="143" t="str">
        <f>IF(C442="","",VLOOKUP('Opći dio'!$C$3,'Opći dio'!$L$6:$U$137,10,FALSE))</f>
        <v/>
      </c>
      <c r="B442" s="143" t="str">
        <f>IF(C442="","",VLOOKUP('Opći dio'!$C$3,'Opći dio'!$L$6:$U$137,9,FALSE))</f>
        <v/>
      </c>
      <c r="C442" s="149"/>
      <c r="D442" s="144" t="str">
        <f t="shared" si="42"/>
        <v/>
      </c>
      <c r="E442" s="149"/>
      <c r="F442" s="144" t="str">
        <f t="shared" si="43"/>
        <v/>
      </c>
      <c r="G442" s="183"/>
      <c r="H442" s="144" t="str">
        <f t="shared" si="44"/>
        <v/>
      </c>
      <c r="I442" s="182"/>
      <c r="J442" s="182"/>
      <c r="K442" s="182"/>
      <c r="M442" s="139" t="str">
        <f t="shared" si="45"/>
        <v/>
      </c>
      <c r="N442" s="139" t="str">
        <f t="shared" si="46"/>
        <v/>
      </c>
    </row>
    <row r="443" spans="1:14">
      <c r="A443" s="143" t="str">
        <f>IF(C443="","",VLOOKUP('Opći dio'!$C$3,'Opći dio'!$L$6:$U$137,10,FALSE))</f>
        <v/>
      </c>
      <c r="B443" s="143" t="str">
        <f>IF(C443="","",VLOOKUP('Opći dio'!$C$3,'Opći dio'!$L$6:$U$137,9,FALSE))</f>
        <v/>
      </c>
      <c r="C443" s="149"/>
      <c r="D443" s="144" t="str">
        <f t="shared" si="42"/>
        <v/>
      </c>
      <c r="E443" s="149"/>
      <c r="F443" s="144" t="str">
        <f t="shared" si="43"/>
        <v/>
      </c>
      <c r="G443" s="183"/>
      <c r="H443" s="144" t="str">
        <f t="shared" si="44"/>
        <v/>
      </c>
      <c r="I443" s="182"/>
      <c r="J443" s="182"/>
      <c r="K443" s="182"/>
      <c r="M443" s="139" t="str">
        <f t="shared" si="45"/>
        <v/>
      </c>
      <c r="N443" s="139" t="str">
        <f t="shared" si="46"/>
        <v/>
      </c>
    </row>
    <row r="444" spans="1:14">
      <c r="A444" s="143" t="str">
        <f>IF(C444="","",VLOOKUP('Opći dio'!$C$3,'Opći dio'!$L$6:$U$137,10,FALSE))</f>
        <v/>
      </c>
      <c r="B444" s="143" t="str">
        <f>IF(C444="","",VLOOKUP('Opći dio'!$C$3,'Opći dio'!$L$6:$U$137,9,FALSE))</f>
        <v/>
      </c>
      <c r="C444" s="149"/>
      <c r="D444" s="144" t="str">
        <f t="shared" si="42"/>
        <v/>
      </c>
      <c r="E444" s="149"/>
      <c r="F444" s="144" t="str">
        <f t="shared" si="43"/>
        <v/>
      </c>
      <c r="G444" s="183"/>
      <c r="H444" s="144" t="str">
        <f t="shared" si="44"/>
        <v/>
      </c>
      <c r="I444" s="182"/>
      <c r="J444" s="182"/>
      <c r="K444" s="182"/>
      <c r="M444" s="139" t="str">
        <f t="shared" si="45"/>
        <v/>
      </c>
      <c r="N444" s="139" t="str">
        <f t="shared" si="46"/>
        <v/>
      </c>
    </row>
    <row r="445" spans="1:14">
      <c r="A445" s="143" t="str">
        <f>IF(C445="","",VLOOKUP('Opći dio'!$C$3,'Opći dio'!$L$6:$U$137,10,FALSE))</f>
        <v/>
      </c>
      <c r="B445" s="143" t="str">
        <f>IF(C445="","",VLOOKUP('Opći dio'!$C$3,'Opći dio'!$L$6:$U$137,9,FALSE))</f>
        <v/>
      </c>
      <c r="C445" s="149"/>
      <c r="D445" s="144" t="str">
        <f t="shared" si="42"/>
        <v/>
      </c>
      <c r="E445" s="149"/>
      <c r="F445" s="144" t="str">
        <f t="shared" si="43"/>
        <v/>
      </c>
      <c r="G445" s="183"/>
      <c r="H445" s="144" t="str">
        <f t="shared" si="44"/>
        <v/>
      </c>
      <c r="I445" s="182"/>
      <c r="J445" s="182"/>
      <c r="K445" s="182"/>
      <c r="M445" s="139" t="str">
        <f t="shared" si="45"/>
        <v/>
      </c>
      <c r="N445" s="139" t="str">
        <f t="shared" si="46"/>
        <v/>
      </c>
    </row>
    <row r="446" spans="1:14">
      <c r="A446" s="143" t="str">
        <f>IF(C446="","",VLOOKUP('Opći dio'!$C$3,'Opći dio'!$L$6:$U$137,10,FALSE))</f>
        <v/>
      </c>
      <c r="B446" s="143" t="str">
        <f>IF(C446="","",VLOOKUP('Opći dio'!$C$3,'Opći dio'!$L$6:$U$137,9,FALSE))</f>
        <v/>
      </c>
      <c r="C446" s="149"/>
      <c r="D446" s="144" t="str">
        <f t="shared" si="42"/>
        <v/>
      </c>
      <c r="E446" s="149"/>
      <c r="F446" s="144" t="str">
        <f t="shared" si="43"/>
        <v/>
      </c>
      <c r="G446" s="183"/>
      <c r="H446" s="144" t="str">
        <f t="shared" si="44"/>
        <v/>
      </c>
      <c r="I446" s="182"/>
      <c r="J446" s="182"/>
      <c r="K446" s="182"/>
      <c r="M446" s="139" t="str">
        <f t="shared" si="45"/>
        <v/>
      </c>
      <c r="N446" s="139" t="str">
        <f t="shared" si="46"/>
        <v/>
      </c>
    </row>
    <row r="447" spans="1:14">
      <c r="A447" s="143" t="str">
        <f>IF(C447="","",VLOOKUP('Opći dio'!$C$3,'Opći dio'!$L$6:$U$137,10,FALSE))</f>
        <v/>
      </c>
      <c r="B447" s="143" t="str">
        <f>IF(C447="","",VLOOKUP('Opći dio'!$C$3,'Opći dio'!$L$6:$U$137,9,FALSE))</f>
        <v/>
      </c>
      <c r="C447" s="149"/>
      <c r="D447" s="144" t="str">
        <f t="shared" si="42"/>
        <v/>
      </c>
      <c r="E447" s="149"/>
      <c r="F447" s="144" t="str">
        <f t="shared" si="43"/>
        <v/>
      </c>
      <c r="G447" s="183"/>
      <c r="H447" s="144" t="str">
        <f t="shared" si="44"/>
        <v/>
      </c>
      <c r="I447" s="182"/>
      <c r="J447" s="182"/>
      <c r="K447" s="182"/>
      <c r="M447" s="139" t="str">
        <f t="shared" si="45"/>
        <v/>
      </c>
      <c r="N447" s="139" t="str">
        <f t="shared" si="46"/>
        <v/>
      </c>
    </row>
    <row r="448" spans="1:14">
      <c r="A448" s="143" t="str">
        <f>IF(C448="","",VLOOKUP('Opći dio'!$C$3,'Opći dio'!$L$6:$U$137,10,FALSE))</f>
        <v/>
      </c>
      <c r="B448" s="143" t="str">
        <f>IF(C448="","",VLOOKUP('Opći dio'!$C$3,'Opći dio'!$L$6:$U$137,9,FALSE))</f>
        <v/>
      </c>
      <c r="C448" s="149"/>
      <c r="D448" s="144" t="str">
        <f t="shared" si="42"/>
        <v/>
      </c>
      <c r="E448" s="149"/>
      <c r="F448" s="144" t="str">
        <f t="shared" si="43"/>
        <v/>
      </c>
      <c r="G448" s="183"/>
      <c r="H448" s="144" t="str">
        <f t="shared" si="44"/>
        <v/>
      </c>
      <c r="I448" s="182"/>
      <c r="J448" s="182"/>
      <c r="K448" s="182"/>
      <c r="M448" s="139" t="str">
        <f t="shared" si="45"/>
        <v/>
      </c>
      <c r="N448" s="139" t="str">
        <f t="shared" si="46"/>
        <v/>
      </c>
    </row>
    <row r="449" spans="1:14">
      <c r="A449" s="143" t="str">
        <f>IF(C449="","",VLOOKUP('Opći dio'!$C$3,'Opći dio'!$L$6:$U$137,10,FALSE))</f>
        <v/>
      </c>
      <c r="B449" s="143" t="str">
        <f>IF(C449="","",VLOOKUP('Opći dio'!$C$3,'Opći dio'!$L$6:$U$137,9,FALSE))</f>
        <v/>
      </c>
      <c r="C449" s="149"/>
      <c r="D449" s="144" t="str">
        <f t="shared" si="42"/>
        <v/>
      </c>
      <c r="E449" s="149"/>
      <c r="F449" s="144" t="str">
        <f t="shared" si="43"/>
        <v/>
      </c>
      <c r="G449" s="183"/>
      <c r="H449" s="144" t="str">
        <f t="shared" si="44"/>
        <v/>
      </c>
      <c r="I449" s="182"/>
      <c r="J449" s="182"/>
      <c r="K449" s="182"/>
      <c r="M449" s="139" t="str">
        <f t="shared" si="45"/>
        <v/>
      </c>
      <c r="N449" s="139" t="str">
        <f t="shared" si="46"/>
        <v/>
      </c>
    </row>
    <row r="450" spans="1:14">
      <c r="A450" s="143" t="str">
        <f>IF(C450="","",VLOOKUP('Opći dio'!$C$3,'Opći dio'!$L$6:$U$137,10,FALSE))</f>
        <v/>
      </c>
      <c r="B450" s="143" t="str">
        <f>IF(C450="","",VLOOKUP('Opći dio'!$C$3,'Opći dio'!$L$6:$U$137,9,FALSE))</f>
        <v/>
      </c>
      <c r="C450" s="149"/>
      <c r="D450" s="144" t="str">
        <f t="shared" si="42"/>
        <v/>
      </c>
      <c r="E450" s="149"/>
      <c r="F450" s="144" t="str">
        <f t="shared" si="43"/>
        <v/>
      </c>
      <c r="G450" s="183"/>
      <c r="H450" s="144" t="str">
        <f t="shared" si="44"/>
        <v/>
      </c>
      <c r="I450" s="182"/>
      <c r="J450" s="182"/>
      <c r="K450" s="182"/>
      <c r="M450" s="139" t="str">
        <f t="shared" si="45"/>
        <v/>
      </c>
      <c r="N450" s="139" t="str">
        <f t="shared" si="46"/>
        <v/>
      </c>
    </row>
    <row r="451" spans="1:14">
      <c r="A451" s="143" t="str">
        <f>IF(C451="","",VLOOKUP('Opći dio'!$C$3,'Opći dio'!$L$6:$U$137,10,FALSE))</f>
        <v/>
      </c>
      <c r="B451" s="143" t="str">
        <f>IF(C451="","",VLOOKUP('Opći dio'!$C$3,'Opći dio'!$L$6:$U$137,9,FALSE))</f>
        <v/>
      </c>
      <c r="C451" s="149"/>
      <c r="D451" s="144" t="str">
        <f t="shared" si="42"/>
        <v/>
      </c>
      <c r="E451" s="149"/>
      <c r="F451" s="144" t="str">
        <f t="shared" si="43"/>
        <v/>
      </c>
      <c r="G451" s="183"/>
      <c r="H451" s="144" t="str">
        <f t="shared" si="44"/>
        <v/>
      </c>
      <c r="I451" s="182"/>
      <c r="J451" s="182"/>
      <c r="K451" s="182"/>
      <c r="M451" s="139" t="str">
        <f t="shared" si="45"/>
        <v/>
      </c>
      <c r="N451" s="139" t="str">
        <f t="shared" si="46"/>
        <v/>
      </c>
    </row>
    <row r="452" spans="1:14">
      <c r="A452" s="143" t="str">
        <f>IF(C452="","",VLOOKUP('Opći dio'!$C$3,'Opći dio'!$L$6:$U$137,10,FALSE))</f>
        <v/>
      </c>
      <c r="B452" s="143" t="str">
        <f>IF(C452="","",VLOOKUP('Opći dio'!$C$3,'Opći dio'!$L$6:$U$137,9,FALSE))</f>
        <v/>
      </c>
      <c r="C452" s="149"/>
      <c r="D452" s="144" t="str">
        <f t="shared" ref="D452:D501" si="47">IFERROR(VLOOKUP(C452,$O$6:$P$23,2,FALSE),"")</f>
        <v/>
      </c>
      <c r="E452" s="149"/>
      <c r="F452" s="144" t="str">
        <f t="shared" ref="F452:F501" si="48">IFERROR(VLOOKUP(E452,$R$5:$T$129,2,FALSE),"")</f>
        <v/>
      </c>
      <c r="G452" s="183"/>
      <c r="H452" s="144" t="str">
        <f t="shared" ref="H452:H501" si="49">IFERROR(VLOOKUP(G452,$X$6:$Y$297,2,FALSE),"")</f>
        <v/>
      </c>
      <c r="I452" s="182"/>
      <c r="J452" s="182"/>
      <c r="K452" s="182"/>
      <c r="M452" s="139" t="str">
        <f t="shared" ref="M452:M501" si="50">LEFT(E452,3)</f>
        <v/>
      </c>
      <c r="N452" s="139" t="str">
        <f t="shared" ref="N452:N501" si="51">LEFT(E452,2)</f>
        <v/>
      </c>
    </row>
    <row r="453" spans="1:14">
      <c r="A453" s="143" t="str">
        <f>IF(C453="","",VLOOKUP('Opći dio'!$C$3,'Opći dio'!$L$6:$U$137,10,FALSE))</f>
        <v/>
      </c>
      <c r="B453" s="143" t="str">
        <f>IF(C453="","",VLOOKUP('Opći dio'!$C$3,'Opći dio'!$L$6:$U$137,9,FALSE))</f>
        <v/>
      </c>
      <c r="C453" s="149"/>
      <c r="D453" s="144" t="str">
        <f t="shared" si="47"/>
        <v/>
      </c>
      <c r="E453" s="149"/>
      <c r="F453" s="144" t="str">
        <f t="shared" si="48"/>
        <v/>
      </c>
      <c r="G453" s="183"/>
      <c r="H453" s="144" t="str">
        <f t="shared" si="49"/>
        <v/>
      </c>
      <c r="I453" s="182"/>
      <c r="J453" s="182"/>
      <c r="K453" s="182"/>
      <c r="M453" s="139" t="str">
        <f t="shared" si="50"/>
        <v/>
      </c>
      <c r="N453" s="139" t="str">
        <f t="shared" si="51"/>
        <v/>
      </c>
    </row>
    <row r="454" spans="1:14">
      <c r="A454" s="143" t="str">
        <f>IF(C454="","",VLOOKUP('Opći dio'!$C$3,'Opći dio'!$L$6:$U$137,10,FALSE))</f>
        <v/>
      </c>
      <c r="B454" s="143" t="str">
        <f>IF(C454="","",VLOOKUP('Opći dio'!$C$3,'Opći dio'!$L$6:$U$137,9,FALSE))</f>
        <v/>
      </c>
      <c r="C454" s="149"/>
      <c r="D454" s="144" t="str">
        <f t="shared" si="47"/>
        <v/>
      </c>
      <c r="E454" s="149"/>
      <c r="F454" s="144" t="str">
        <f t="shared" si="48"/>
        <v/>
      </c>
      <c r="G454" s="183"/>
      <c r="H454" s="144" t="str">
        <f t="shared" si="49"/>
        <v/>
      </c>
      <c r="I454" s="182"/>
      <c r="J454" s="182"/>
      <c r="K454" s="182"/>
      <c r="M454" s="139" t="str">
        <f t="shared" si="50"/>
        <v/>
      </c>
      <c r="N454" s="139" t="str">
        <f t="shared" si="51"/>
        <v/>
      </c>
    </row>
    <row r="455" spans="1:14">
      <c r="A455" s="143" t="str">
        <f>IF(C455="","",VLOOKUP('Opći dio'!$C$3,'Opći dio'!$L$6:$U$137,10,FALSE))</f>
        <v/>
      </c>
      <c r="B455" s="143" t="str">
        <f>IF(C455="","",VLOOKUP('Opći dio'!$C$3,'Opći dio'!$L$6:$U$137,9,FALSE))</f>
        <v/>
      </c>
      <c r="C455" s="149"/>
      <c r="D455" s="144" t="str">
        <f t="shared" si="47"/>
        <v/>
      </c>
      <c r="E455" s="149"/>
      <c r="F455" s="144" t="str">
        <f t="shared" si="48"/>
        <v/>
      </c>
      <c r="G455" s="183"/>
      <c r="H455" s="144" t="str">
        <f t="shared" si="49"/>
        <v/>
      </c>
      <c r="I455" s="182"/>
      <c r="J455" s="182"/>
      <c r="K455" s="182"/>
      <c r="M455" s="139" t="str">
        <f t="shared" si="50"/>
        <v/>
      </c>
      <c r="N455" s="139" t="str">
        <f t="shared" si="51"/>
        <v/>
      </c>
    </row>
    <row r="456" spans="1:14">
      <c r="A456" s="143" t="str">
        <f>IF(C456="","",VLOOKUP('Opći dio'!$C$3,'Opći dio'!$L$6:$U$137,10,FALSE))</f>
        <v/>
      </c>
      <c r="B456" s="143" t="str">
        <f>IF(C456="","",VLOOKUP('Opći dio'!$C$3,'Opći dio'!$L$6:$U$137,9,FALSE))</f>
        <v/>
      </c>
      <c r="C456" s="149"/>
      <c r="D456" s="144" t="str">
        <f t="shared" si="47"/>
        <v/>
      </c>
      <c r="E456" s="149"/>
      <c r="F456" s="144" t="str">
        <f t="shared" si="48"/>
        <v/>
      </c>
      <c r="G456" s="183"/>
      <c r="H456" s="144" t="str">
        <f t="shared" si="49"/>
        <v/>
      </c>
      <c r="I456" s="182"/>
      <c r="J456" s="182"/>
      <c r="K456" s="182"/>
      <c r="M456" s="139" t="str">
        <f t="shared" si="50"/>
        <v/>
      </c>
      <c r="N456" s="139" t="str">
        <f t="shared" si="51"/>
        <v/>
      </c>
    </row>
    <row r="457" spans="1:14">
      <c r="A457" s="143" t="str">
        <f>IF(C457="","",VLOOKUP('Opći dio'!$C$3,'Opći dio'!$L$6:$U$137,10,FALSE))</f>
        <v/>
      </c>
      <c r="B457" s="143" t="str">
        <f>IF(C457="","",VLOOKUP('Opći dio'!$C$3,'Opći dio'!$L$6:$U$137,9,FALSE))</f>
        <v/>
      </c>
      <c r="C457" s="149"/>
      <c r="D457" s="144" t="str">
        <f t="shared" si="47"/>
        <v/>
      </c>
      <c r="E457" s="149"/>
      <c r="F457" s="144" t="str">
        <f t="shared" si="48"/>
        <v/>
      </c>
      <c r="G457" s="183"/>
      <c r="H457" s="144" t="str">
        <f t="shared" si="49"/>
        <v/>
      </c>
      <c r="I457" s="182"/>
      <c r="J457" s="182"/>
      <c r="K457" s="182"/>
      <c r="M457" s="139" t="str">
        <f t="shared" si="50"/>
        <v/>
      </c>
      <c r="N457" s="139" t="str">
        <f t="shared" si="51"/>
        <v/>
      </c>
    </row>
    <row r="458" spans="1:14">
      <c r="A458" s="143" t="str">
        <f>IF(C458="","",VLOOKUP('Opći dio'!$C$3,'Opći dio'!$L$6:$U$137,10,FALSE))</f>
        <v/>
      </c>
      <c r="B458" s="143" t="str">
        <f>IF(C458="","",VLOOKUP('Opći dio'!$C$3,'Opći dio'!$L$6:$U$137,9,FALSE))</f>
        <v/>
      </c>
      <c r="C458" s="149"/>
      <c r="D458" s="144" t="str">
        <f t="shared" si="47"/>
        <v/>
      </c>
      <c r="E458" s="149"/>
      <c r="F458" s="144" t="str">
        <f t="shared" si="48"/>
        <v/>
      </c>
      <c r="G458" s="183"/>
      <c r="H458" s="144" t="str">
        <f t="shared" si="49"/>
        <v/>
      </c>
      <c r="I458" s="182"/>
      <c r="J458" s="182"/>
      <c r="K458" s="182"/>
      <c r="M458" s="139" t="str">
        <f t="shared" si="50"/>
        <v/>
      </c>
      <c r="N458" s="139" t="str">
        <f t="shared" si="51"/>
        <v/>
      </c>
    </row>
    <row r="459" spans="1:14">
      <c r="A459" s="143" t="str">
        <f>IF(C459="","",VLOOKUP('Opći dio'!$C$3,'Opći dio'!$L$6:$U$137,10,FALSE))</f>
        <v/>
      </c>
      <c r="B459" s="143" t="str">
        <f>IF(C459="","",VLOOKUP('Opći dio'!$C$3,'Opći dio'!$L$6:$U$137,9,FALSE))</f>
        <v/>
      </c>
      <c r="C459" s="149"/>
      <c r="D459" s="144" t="str">
        <f t="shared" si="47"/>
        <v/>
      </c>
      <c r="E459" s="149"/>
      <c r="F459" s="144" t="str">
        <f t="shared" si="48"/>
        <v/>
      </c>
      <c r="G459" s="183"/>
      <c r="H459" s="144" t="str">
        <f t="shared" si="49"/>
        <v/>
      </c>
      <c r="I459" s="182"/>
      <c r="J459" s="182"/>
      <c r="K459" s="182"/>
      <c r="M459" s="139" t="str">
        <f t="shared" si="50"/>
        <v/>
      </c>
      <c r="N459" s="139" t="str">
        <f t="shared" si="51"/>
        <v/>
      </c>
    </row>
    <row r="460" spans="1:14">
      <c r="A460" s="143" t="str">
        <f>IF(C460="","",VLOOKUP('Opći dio'!$C$3,'Opći dio'!$L$6:$U$137,10,FALSE))</f>
        <v/>
      </c>
      <c r="B460" s="143" t="str">
        <f>IF(C460="","",VLOOKUP('Opći dio'!$C$3,'Opći dio'!$L$6:$U$137,9,FALSE))</f>
        <v/>
      </c>
      <c r="C460" s="149"/>
      <c r="D460" s="144" t="str">
        <f t="shared" si="47"/>
        <v/>
      </c>
      <c r="E460" s="149"/>
      <c r="F460" s="144" t="str">
        <f t="shared" si="48"/>
        <v/>
      </c>
      <c r="G460" s="183"/>
      <c r="H460" s="144" t="str">
        <f t="shared" si="49"/>
        <v/>
      </c>
      <c r="I460" s="182"/>
      <c r="J460" s="182"/>
      <c r="K460" s="182"/>
      <c r="M460" s="139" t="str">
        <f t="shared" si="50"/>
        <v/>
      </c>
      <c r="N460" s="139" t="str">
        <f t="shared" si="51"/>
        <v/>
      </c>
    </row>
    <row r="461" spans="1:14">
      <c r="A461" s="143" t="str">
        <f>IF(C461="","",VLOOKUP('Opći dio'!$C$3,'Opći dio'!$L$6:$U$137,10,FALSE))</f>
        <v/>
      </c>
      <c r="B461" s="143" t="str">
        <f>IF(C461="","",VLOOKUP('Opći dio'!$C$3,'Opći dio'!$L$6:$U$137,9,FALSE))</f>
        <v/>
      </c>
      <c r="C461" s="149"/>
      <c r="D461" s="144" t="str">
        <f t="shared" si="47"/>
        <v/>
      </c>
      <c r="E461" s="149"/>
      <c r="F461" s="144" t="str">
        <f t="shared" si="48"/>
        <v/>
      </c>
      <c r="G461" s="183"/>
      <c r="H461" s="144" t="str">
        <f t="shared" si="49"/>
        <v/>
      </c>
      <c r="I461" s="182"/>
      <c r="J461" s="182"/>
      <c r="K461" s="182"/>
      <c r="M461" s="139" t="str">
        <f t="shared" si="50"/>
        <v/>
      </c>
      <c r="N461" s="139" t="str">
        <f t="shared" si="51"/>
        <v/>
      </c>
    </row>
    <row r="462" spans="1:14">
      <c r="A462" s="143" t="str">
        <f>IF(C462="","",VLOOKUP('Opći dio'!$C$3,'Opći dio'!$L$6:$U$137,10,FALSE))</f>
        <v/>
      </c>
      <c r="B462" s="143" t="str">
        <f>IF(C462="","",VLOOKUP('Opći dio'!$C$3,'Opći dio'!$L$6:$U$137,9,FALSE))</f>
        <v/>
      </c>
      <c r="C462" s="149"/>
      <c r="D462" s="144" t="str">
        <f t="shared" si="47"/>
        <v/>
      </c>
      <c r="E462" s="149"/>
      <c r="F462" s="144" t="str">
        <f t="shared" si="48"/>
        <v/>
      </c>
      <c r="G462" s="183"/>
      <c r="H462" s="144" t="str">
        <f t="shared" si="49"/>
        <v/>
      </c>
      <c r="I462" s="182"/>
      <c r="J462" s="182"/>
      <c r="K462" s="182"/>
      <c r="M462" s="139" t="str">
        <f t="shared" si="50"/>
        <v/>
      </c>
      <c r="N462" s="139" t="str">
        <f t="shared" si="51"/>
        <v/>
      </c>
    </row>
    <row r="463" spans="1:14">
      <c r="A463" s="143" t="str">
        <f>IF(C463="","",VLOOKUP('Opći dio'!$C$3,'Opći dio'!$L$6:$U$137,10,FALSE))</f>
        <v/>
      </c>
      <c r="B463" s="143" t="str">
        <f>IF(C463="","",VLOOKUP('Opći dio'!$C$3,'Opći dio'!$L$6:$U$137,9,FALSE))</f>
        <v/>
      </c>
      <c r="C463" s="149"/>
      <c r="D463" s="144" t="str">
        <f t="shared" si="47"/>
        <v/>
      </c>
      <c r="E463" s="149"/>
      <c r="F463" s="144" t="str">
        <f t="shared" si="48"/>
        <v/>
      </c>
      <c r="G463" s="183"/>
      <c r="H463" s="144" t="str">
        <f t="shared" si="49"/>
        <v/>
      </c>
      <c r="I463" s="182"/>
      <c r="J463" s="182"/>
      <c r="K463" s="182"/>
      <c r="M463" s="139" t="str">
        <f t="shared" si="50"/>
        <v/>
      </c>
      <c r="N463" s="139" t="str">
        <f t="shared" si="51"/>
        <v/>
      </c>
    </row>
    <row r="464" spans="1:14">
      <c r="A464" s="143" t="str">
        <f>IF(C464="","",VLOOKUP('Opći dio'!$C$3,'Opći dio'!$L$6:$U$137,10,FALSE))</f>
        <v/>
      </c>
      <c r="B464" s="143" t="str">
        <f>IF(C464="","",VLOOKUP('Opći dio'!$C$3,'Opći dio'!$L$6:$U$137,9,FALSE))</f>
        <v/>
      </c>
      <c r="C464" s="149"/>
      <c r="D464" s="144" t="str">
        <f t="shared" si="47"/>
        <v/>
      </c>
      <c r="E464" s="149"/>
      <c r="F464" s="144" t="str">
        <f t="shared" si="48"/>
        <v/>
      </c>
      <c r="G464" s="183"/>
      <c r="H464" s="144" t="str">
        <f t="shared" si="49"/>
        <v/>
      </c>
      <c r="I464" s="182"/>
      <c r="J464" s="182"/>
      <c r="K464" s="182"/>
      <c r="M464" s="139" t="str">
        <f t="shared" si="50"/>
        <v/>
      </c>
      <c r="N464" s="139" t="str">
        <f t="shared" si="51"/>
        <v/>
      </c>
    </row>
    <row r="465" spans="1:14">
      <c r="A465" s="143" t="str">
        <f>IF(C465="","",VLOOKUP('Opći dio'!$C$3,'Opći dio'!$L$6:$U$137,10,FALSE))</f>
        <v/>
      </c>
      <c r="B465" s="143" t="str">
        <f>IF(C465="","",VLOOKUP('Opći dio'!$C$3,'Opći dio'!$L$6:$U$137,9,FALSE))</f>
        <v/>
      </c>
      <c r="C465" s="149"/>
      <c r="D465" s="144" t="str">
        <f t="shared" si="47"/>
        <v/>
      </c>
      <c r="E465" s="149"/>
      <c r="F465" s="144" t="str">
        <f t="shared" si="48"/>
        <v/>
      </c>
      <c r="G465" s="183"/>
      <c r="H465" s="144" t="str">
        <f t="shared" si="49"/>
        <v/>
      </c>
      <c r="I465" s="182"/>
      <c r="J465" s="182"/>
      <c r="K465" s="182"/>
      <c r="M465" s="139" t="str">
        <f t="shared" si="50"/>
        <v/>
      </c>
      <c r="N465" s="139" t="str">
        <f t="shared" si="51"/>
        <v/>
      </c>
    </row>
    <row r="466" spans="1:14">
      <c r="A466" s="143" t="str">
        <f>IF(C466="","",VLOOKUP('Opći dio'!$C$3,'Opći dio'!$L$6:$U$137,10,FALSE))</f>
        <v/>
      </c>
      <c r="B466" s="143" t="str">
        <f>IF(C466="","",VLOOKUP('Opći dio'!$C$3,'Opći dio'!$L$6:$U$137,9,FALSE))</f>
        <v/>
      </c>
      <c r="C466" s="149"/>
      <c r="D466" s="144" t="str">
        <f t="shared" si="47"/>
        <v/>
      </c>
      <c r="E466" s="149"/>
      <c r="F466" s="144" t="str">
        <f t="shared" si="48"/>
        <v/>
      </c>
      <c r="G466" s="183"/>
      <c r="H466" s="144" t="str">
        <f t="shared" si="49"/>
        <v/>
      </c>
      <c r="I466" s="182"/>
      <c r="J466" s="182"/>
      <c r="K466" s="182"/>
      <c r="M466" s="139" t="str">
        <f t="shared" si="50"/>
        <v/>
      </c>
      <c r="N466" s="139" t="str">
        <f t="shared" si="51"/>
        <v/>
      </c>
    </row>
    <row r="467" spans="1:14">
      <c r="A467" s="143" t="str">
        <f>IF(C467="","",VLOOKUP('Opći dio'!$C$3,'Opći dio'!$L$6:$U$137,10,FALSE))</f>
        <v/>
      </c>
      <c r="B467" s="143" t="str">
        <f>IF(C467="","",VLOOKUP('Opći dio'!$C$3,'Opći dio'!$L$6:$U$137,9,FALSE))</f>
        <v/>
      </c>
      <c r="C467" s="149"/>
      <c r="D467" s="144" t="str">
        <f t="shared" si="47"/>
        <v/>
      </c>
      <c r="E467" s="149"/>
      <c r="F467" s="144" t="str">
        <f t="shared" si="48"/>
        <v/>
      </c>
      <c r="G467" s="183"/>
      <c r="H467" s="144" t="str">
        <f t="shared" si="49"/>
        <v/>
      </c>
      <c r="I467" s="182"/>
      <c r="J467" s="182"/>
      <c r="K467" s="182"/>
      <c r="M467" s="139" t="str">
        <f t="shared" si="50"/>
        <v/>
      </c>
      <c r="N467" s="139" t="str">
        <f t="shared" si="51"/>
        <v/>
      </c>
    </row>
    <row r="468" spans="1:14">
      <c r="A468" s="143" t="str">
        <f>IF(C468="","",VLOOKUP('Opći dio'!$C$3,'Opći dio'!$L$6:$U$137,10,FALSE))</f>
        <v/>
      </c>
      <c r="B468" s="143" t="str">
        <f>IF(C468="","",VLOOKUP('Opći dio'!$C$3,'Opći dio'!$L$6:$U$137,9,FALSE))</f>
        <v/>
      </c>
      <c r="C468" s="149"/>
      <c r="D468" s="144" t="str">
        <f t="shared" si="47"/>
        <v/>
      </c>
      <c r="E468" s="149"/>
      <c r="F468" s="144" t="str">
        <f t="shared" si="48"/>
        <v/>
      </c>
      <c r="G468" s="183"/>
      <c r="H468" s="144" t="str">
        <f t="shared" si="49"/>
        <v/>
      </c>
      <c r="I468" s="182"/>
      <c r="J468" s="182"/>
      <c r="K468" s="182"/>
      <c r="M468" s="139" t="str">
        <f t="shared" si="50"/>
        <v/>
      </c>
      <c r="N468" s="139" t="str">
        <f t="shared" si="51"/>
        <v/>
      </c>
    </row>
    <row r="469" spans="1:14">
      <c r="A469" s="143" t="str">
        <f>IF(C469="","",VLOOKUP('Opći dio'!$C$3,'Opći dio'!$L$6:$U$137,10,FALSE))</f>
        <v/>
      </c>
      <c r="B469" s="143" t="str">
        <f>IF(C469="","",VLOOKUP('Opći dio'!$C$3,'Opći dio'!$L$6:$U$137,9,FALSE))</f>
        <v/>
      </c>
      <c r="C469" s="149"/>
      <c r="D469" s="144" t="str">
        <f t="shared" si="47"/>
        <v/>
      </c>
      <c r="E469" s="149"/>
      <c r="F469" s="144" t="str">
        <f t="shared" si="48"/>
        <v/>
      </c>
      <c r="G469" s="183"/>
      <c r="H469" s="144" t="str">
        <f t="shared" si="49"/>
        <v/>
      </c>
      <c r="I469" s="182"/>
      <c r="J469" s="182"/>
      <c r="K469" s="182"/>
      <c r="M469" s="139" t="str">
        <f t="shared" si="50"/>
        <v/>
      </c>
      <c r="N469" s="139" t="str">
        <f t="shared" si="51"/>
        <v/>
      </c>
    </row>
    <row r="470" spans="1:14">
      <c r="A470" s="143" t="str">
        <f>IF(C470="","",VLOOKUP('Opći dio'!$C$3,'Opći dio'!$L$6:$U$137,10,FALSE))</f>
        <v/>
      </c>
      <c r="B470" s="143" t="str">
        <f>IF(C470="","",VLOOKUP('Opći dio'!$C$3,'Opći dio'!$L$6:$U$137,9,FALSE))</f>
        <v/>
      </c>
      <c r="C470" s="149"/>
      <c r="D470" s="144" t="str">
        <f t="shared" si="47"/>
        <v/>
      </c>
      <c r="E470" s="149"/>
      <c r="F470" s="144" t="str">
        <f t="shared" si="48"/>
        <v/>
      </c>
      <c r="G470" s="183"/>
      <c r="H470" s="144" t="str">
        <f t="shared" si="49"/>
        <v/>
      </c>
      <c r="I470" s="182"/>
      <c r="J470" s="182"/>
      <c r="K470" s="182"/>
      <c r="M470" s="139" t="str">
        <f t="shared" si="50"/>
        <v/>
      </c>
      <c r="N470" s="139" t="str">
        <f t="shared" si="51"/>
        <v/>
      </c>
    </row>
    <row r="471" spans="1:14">
      <c r="A471" s="143" t="str">
        <f>IF(C471="","",VLOOKUP('Opći dio'!$C$3,'Opći dio'!$L$6:$U$137,10,FALSE))</f>
        <v/>
      </c>
      <c r="B471" s="143" t="str">
        <f>IF(C471="","",VLOOKUP('Opći dio'!$C$3,'Opći dio'!$L$6:$U$137,9,FALSE))</f>
        <v/>
      </c>
      <c r="C471" s="149"/>
      <c r="D471" s="144" t="str">
        <f t="shared" si="47"/>
        <v/>
      </c>
      <c r="E471" s="149"/>
      <c r="F471" s="144" t="str">
        <f t="shared" si="48"/>
        <v/>
      </c>
      <c r="G471" s="183"/>
      <c r="H471" s="144" t="str">
        <f t="shared" si="49"/>
        <v/>
      </c>
      <c r="I471" s="182"/>
      <c r="J471" s="182"/>
      <c r="K471" s="182"/>
      <c r="M471" s="139" t="str">
        <f t="shared" si="50"/>
        <v/>
      </c>
      <c r="N471" s="139" t="str">
        <f t="shared" si="51"/>
        <v/>
      </c>
    </row>
    <row r="472" spans="1:14">
      <c r="A472" s="143" t="str">
        <f>IF(C472="","",VLOOKUP('Opći dio'!$C$3,'Opći dio'!$L$6:$U$137,10,FALSE))</f>
        <v/>
      </c>
      <c r="B472" s="143" t="str">
        <f>IF(C472="","",VLOOKUP('Opći dio'!$C$3,'Opći dio'!$L$6:$U$137,9,FALSE))</f>
        <v/>
      </c>
      <c r="C472" s="149"/>
      <c r="D472" s="144" t="str">
        <f t="shared" si="47"/>
        <v/>
      </c>
      <c r="E472" s="149"/>
      <c r="F472" s="144" t="str">
        <f t="shared" si="48"/>
        <v/>
      </c>
      <c r="G472" s="183"/>
      <c r="H472" s="144" t="str">
        <f t="shared" si="49"/>
        <v/>
      </c>
      <c r="I472" s="182"/>
      <c r="J472" s="182"/>
      <c r="K472" s="182"/>
      <c r="M472" s="139" t="str">
        <f t="shared" si="50"/>
        <v/>
      </c>
      <c r="N472" s="139" t="str">
        <f t="shared" si="51"/>
        <v/>
      </c>
    </row>
    <row r="473" spans="1:14">
      <c r="A473" s="143" t="str">
        <f>IF(C473="","",VLOOKUP('Opći dio'!$C$3,'Opći dio'!$L$6:$U$137,10,FALSE))</f>
        <v/>
      </c>
      <c r="B473" s="143" t="str">
        <f>IF(C473="","",VLOOKUP('Opći dio'!$C$3,'Opći dio'!$L$6:$U$137,9,FALSE))</f>
        <v/>
      </c>
      <c r="C473" s="149"/>
      <c r="D473" s="144" t="str">
        <f t="shared" si="47"/>
        <v/>
      </c>
      <c r="E473" s="149"/>
      <c r="F473" s="144" t="str">
        <f t="shared" si="48"/>
        <v/>
      </c>
      <c r="G473" s="183"/>
      <c r="H473" s="144" t="str">
        <f t="shared" si="49"/>
        <v/>
      </c>
      <c r="I473" s="182"/>
      <c r="J473" s="182"/>
      <c r="K473" s="182"/>
      <c r="M473" s="139" t="str">
        <f t="shared" si="50"/>
        <v/>
      </c>
      <c r="N473" s="139" t="str">
        <f t="shared" si="51"/>
        <v/>
      </c>
    </row>
    <row r="474" spans="1:14">
      <c r="A474" s="143" t="str">
        <f>IF(C474="","",VLOOKUP('Opći dio'!$C$3,'Opći dio'!$L$6:$U$137,10,FALSE))</f>
        <v/>
      </c>
      <c r="B474" s="143" t="str">
        <f>IF(C474="","",VLOOKUP('Opći dio'!$C$3,'Opći dio'!$L$6:$U$137,9,FALSE))</f>
        <v/>
      </c>
      <c r="C474" s="149"/>
      <c r="D474" s="144" t="str">
        <f t="shared" si="47"/>
        <v/>
      </c>
      <c r="E474" s="149"/>
      <c r="F474" s="144" t="str">
        <f t="shared" si="48"/>
        <v/>
      </c>
      <c r="G474" s="183"/>
      <c r="H474" s="144" t="str">
        <f t="shared" si="49"/>
        <v/>
      </c>
      <c r="I474" s="182"/>
      <c r="J474" s="182"/>
      <c r="K474" s="182"/>
      <c r="M474" s="139" t="str">
        <f t="shared" si="50"/>
        <v/>
      </c>
      <c r="N474" s="139" t="str">
        <f t="shared" si="51"/>
        <v/>
      </c>
    </row>
    <row r="475" spans="1:14">
      <c r="A475" s="143" t="str">
        <f>IF(C475="","",VLOOKUP('Opći dio'!$C$3,'Opći dio'!$L$6:$U$137,10,FALSE))</f>
        <v/>
      </c>
      <c r="B475" s="143" t="str">
        <f>IF(C475="","",VLOOKUP('Opći dio'!$C$3,'Opći dio'!$L$6:$U$137,9,FALSE))</f>
        <v/>
      </c>
      <c r="C475" s="149"/>
      <c r="D475" s="144" t="str">
        <f t="shared" si="47"/>
        <v/>
      </c>
      <c r="E475" s="149"/>
      <c r="F475" s="144" t="str">
        <f t="shared" si="48"/>
        <v/>
      </c>
      <c r="G475" s="183"/>
      <c r="H475" s="144" t="str">
        <f t="shared" si="49"/>
        <v/>
      </c>
      <c r="I475" s="182"/>
      <c r="J475" s="182"/>
      <c r="K475" s="182"/>
      <c r="M475" s="139" t="str">
        <f t="shared" si="50"/>
        <v/>
      </c>
      <c r="N475" s="139" t="str">
        <f t="shared" si="51"/>
        <v/>
      </c>
    </row>
    <row r="476" spans="1:14">
      <c r="A476" s="143" t="str">
        <f>IF(C476="","",VLOOKUP('Opći dio'!$C$3,'Opći dio'!$L$6:$U$137,10,FALSE))</f>
        <v/>
      </c>
      <c r="B476" s="143" t="str">
        <f>IF(C476="","",VLOOKUP('Opći dio'!$C$3,'Opći dio'!$L$6:$U$137,9,FALSE))</f>
        <v/>
      </c>
      <c r="C476" s="149"/>
      <c r="D476" s="144" t="str">
        <f t="shared" si="47"/>
        <v/>
      </c>
      <c r="E476" s="149"/>
      <c r="F476" s="144" t="str">
        <f t="shared" si="48"/>
        <v/>
      </c>
      <c r="G476" s="183"/>
      <c r="H476" s="144" t="str">
        <f t="shared" si="49"/>
        <v/>
      </c>
      <c r="I476" s="182"/>
      <c r="J476" s="182"/>
      <c r="K476" s="182"/>
      <c r="M476" s="139" t="str">
        <f t="shared" si="50"/>
        <v/>
      </c>
      <c r="N476" s="139" t="str">
        <f t="shared" si="51"/>
        <v/>
      </c>
    </row>
    <row r="477" spans="1:14">
      <c r="A477" s="143" t="str">
        <f>IF(C477="","",VLOOKUP('Opći dio'!$C$3,'Opći dio'!$L$6:$U$137,10,FALSE))</f>
        <v/>
      </c>
      <c r="B477" s="143" t="str">
        <f>IF(C477="","",VLOOKUP('Opći dio'!$C$3,'Opći dio'!$L$6:$U$137,9,FALSE))</f>
        <v/>
      </c>
      <c r="C477" s="149"/>
      <c r="D477" s="144" t="str">
        <f t="shared" si="47"/>
        <v/>
      </c>
      <c r="E477" s="149"/>
      <c r="F477" s="144" t="str">
        <f t="shared" si="48"/>
        <v/>
      </c>
      <c r="G477" s="183"/>
      <c r="H477" s="144" t="str">
        <f t="shared" si="49"/>
        <v/>
      </c>
      <c r="I477" s="182"/>
      <c r="J477" s="182"/>
      <c r="K477" s="182"/>
      <c r="M477" s="139" t="str">
        <f t="shared" si="50"/>
        <v/>
      </c>
      <c r="N477" s="139" t="str">
        <f t="shared" si="51"/>
        <v/>
      </c>
    </row>
    <row r="478" spans="1:14">
      <c r="A478" s="143" t="str">
        <f>IF(C478="","",VLOOKUP('Opći dio'!$C$3,'Opći dio'!$L$6:$U$137,10,FALSE))</f>
        <v/>
      </c>
      <c r="B478" s="143" t="str">
        <f>IF(C478="","",VLOOKUP('Opći dio'!$C$3,'Opći dio'!$L$6:$U$137,9,FALSE))</f>
        <v/>
      </c>
      <c r="C478" s="149"/>
      <c r="D478" s="144" t="str">
        <f t="shared" si="47"/>
        <v/>
      </c>
      <c r="E478" s="149"/>
      <c r="F478" s="144" t="str">
        <f t="shared" si="48"/>
        <v/>
      </c>
      <c r="G478" s="183"/>
      <c r="H478" s="144" t="str">
        <f t="shared" si="49"/>
        <v/>
      </c>
      <c r="I478" s="182"/>
      <c r="J478" s="182"/>
      <c r="K478" s="182"/>
      <c r="M478" s="139" t="str">
        <f t="shared" si="50"/>
        <v/>
      </c>
      <c r="N478" s="139" t="str">
        <f t="shared" si="51"/>
        <v/>
      </c>
    </row>
    <row r="479" spans="1:14">
      <c r="A479" s="143" t="str">
        <f>IF(C479="","",VLOOKUP('Opći dio'!$C$3,'Opći dio'!$L$6:$U$137,10,FALSE))</f>
        <v/>
      </c>
      <c r="B479" s="143" t="str">
        <f>IF(C479="","",VLOOKUP('Opći dio'!$C$3,'Opći dio'!$L$6:$U$137,9,FALSE))</f>
        <v/>
      </c>
      <c r="C479" s="149"/>
      <c r="D479" s="144" t="str">
        <f t="shared" si="47"/>
        <v/>
      </c>
      <c r="E479" s="149"/>
      <c r="F479" s="144" t="str">
        <f t="shared" si="48"/>
        <v/>
      </c>
      <c r="G479" s="183"/>
      <c r="H479" s="144" t="str">
        <f t="shared" si="49"/>
        <v/>
      </c>
      <c r="I479" s="182"/>
      <c r="J479" s="182"/>
      <c r="K479" s="182"/>
      <c r="M479" s="139" t="str">
        <f t="shared" si="50"/>
        <v/>
      </c>
      <c r="N479" s="139" t="str">
        <f t="shared" si="51"/>
        <v/>
      </c>
    </row>
    <row r="480" spans="1:14">
      <c r="A480" s="143" t="str">
        <f>IF(C480="","",VLOOKUP('Opći dio'!$C$3,'Opći dio'!$L$6:$U$137,10,FALSE))</f>
        <v/>
      </c>
      <c r="B480" s="143" t="str">
        <f>IF(C480="","",VLOOKUP('Opći dio'!$C$3,'Opći dio'!$L$6:$U$137,9,FALSE))</f>
        <v/>
      </c>
      <c r="C480" s="149"/>
      <c r="D480" s="144" t="str">
        <f t="shared" si="47"/>
        <v/>
      </c>
      <c r="E480" s="149"/>
      <c r="F480" s="144" t="str">
        <f t="shared" si="48"/>
        <v/>
      </c>
      <c r="G480" s="183"/>
      <c r="H480" s="144" t="str">
        <f t="shared" si="49"/>
        <v/>
      </c>
      <c r="I480" s="182"/>
      <c r="J480" s="182"/>
      <c r="K480" s="182"/>
      <c r="M480" s="139" t="str">
        <f t="shared" si="50"/>
        <v/>
      </c>
      <c r="N480" s="139" t="str">
        <f t="shared" si="51"/>
        <v/>
      </c>
    </row>
    <row r="481" spans="1:14">
      <c r="A481" s="143" t="str">
        <f>IF(C481="","",VLOOKUP('Opći dio'!$C$3,'Opći dio'!$L$6:$U$137,10,FALSE))</f>
        <v/>
      </c>
      <c r="B481" s="143" t="str">
        <f>IF(C481="","",VLOOKUP('Opći dio'!$C$3,'Opći dio'!$L$6:$U$137,9,FALSE))</f>
        <v/>
      </c>
      <c r="C481" s="149"/>
      <c r="D481" s="144" t="str">
        <f t="shared" si="47"/>
        <v/>
      </c>
      <c r="E481" s="149"/>
      <c r="F481" s="144" t="str">
        <f t="shared" si="48"/>
        <v/>
      </c>
      <c r="G481" s="183"/>
      <c r="H481" s="144" t="str">
        <f t="shared" si="49"/>
        <v/>
      </c>
      <c r="I481" s="182"/>
      <c r="J481" s="182"/>
      <c r="K481" s="182"/>
      <c r="M481" s="139" t="str">
        <f t="shared" si="50"/>
        <v/>
      </c>
      <c r="N481" s="139" t="str">
        <f t="shared" si="51"/>
        <v/>
      </c>
    </row>
    <row r="482" spans="1:14">
      <c r="A482" s="143" t="str">
        <f>IF(C482="","",VLOOKUP('Opći dio'!$C$3,'Opći dio'!$L$6:$U$137,10,FALSE))</f>
        <v/>
      </c>
      <c r="B482" s="143" t="str">
        <f>IF(C482="","",VLOOKUP('Opći dio'!$C$3,'Opći dio'!$L$6:$U$137,9,FALSE))</f>
        <v/>
      </c>
      <c r="C482" s="149"/>
      <c r="D482" s="144" t="str">
        <f t="shared" si="47"/>
        <v/>
      </c>
      <c r="E482" s="149"/>
      <c r="F482" s="144" t="str">
        <f t="shared" si="48"/>
        <v/>
      </c>
      <c r="G482" s="183"/>
      <c r="H482" s="144" t="str">
        <f t="shared" si="49"/>
        <v/>
      </c>
      <c r="I482" s="182"/>
      <c r="J482" s="182"/>
      <c r="K482" s="182"/>
      <c r="M482" s="139" t="str">
        <f t="shared" si="50"/>
        <v/>
      </c>
      <c r="N482" s="139" t="str">
        <f t="shared" si="51"/>
        <v/>
      </c>
    </row>
    <row r="483" spans="1:14">
      <c r="A483" s="143" t="str">
        <f>IF(C483="","",VLOOKUP('Opći dio'!$C$3,'Opći dio'!$L$6:$U$137,10,FALSE))</f>
        <v/>
      </c>
      <c r="B483" s="143" t="str">
        <f>IF(C483="","",VLOOKUP('Opći dio'!$C$3,'Opći dio'!$L$6:$U$137,9,FALSE))</f>
        <v/>
      </c>
      <c r="C483" s="149"/>
      <c r="D483" s="144" t="str">
        <f t="shared" si="47"/>
        <v/>
      </c>
      <c r="E483" s="149"/>
      <c r="F483" s="144" t="str">
        <f t="shared" si="48"/>
        <v/>
      </c>
      <c r="G483" s="183"/>
      <c r="H483" s="144" t="str">
        <f t="shared" si="49"/>
        <v/>
      </c>
      <c r="I483" s="182"/>
      <c r="J483" s="182"/>
      <c r="K483" s="182"/>
      <c r="M483" s="139" t="str">
        <f t="shared" si="50"/>
        <v/>
      </c>
      <c r="N483" s="139" t="str">
        <f t="shared" si="51"/>
        <v/>
      </c>
    </row>
    <row r="484" spans="1:14">
      <c r="A484" s="143" t="str">
        <f>IF(C484="","",VLOOKUP('Opći dio'!$C$3,'Opći dio'!$L$6:$U$137,10,FALSE))</f>
        <v/>
      </c>
      <c r="B484" s="143" t="str">
        <f>IF(C484="","",VLOOKUP('Opći dio'!$C$3,'Opći dio'!$L$6:$U$137,9,FALSE))</f>
        <v/>
      </c>
      <c r="C484" s="149"/>
      <c r="D484" s="144" t="str">
        <f t="shared" si="47"/>
        <v/>
      </c>
      <c r="E484" s="149"/>
      <c r="F484" s="144" t="str">
        <f t="shared" si="48"/>
        <v/>
      </c>
      <c r="G484" s="183"/>
      <c r="H484" s="144" t="str">
        <f t="shared" si="49"/>
        <v/>
      </c>
      <c r="I484" s="182"/>
      <c r="J484" s="182"/>
      <c r="K484" s="182"/>
      <c r="M484" s="139" t="str">
        <f t="shared" si="50"/>
        <v/>
      </c>
      <c r="N484" s="139" t="str">
        <f t="shared" si="51"/>
        <v/>
      </c>
    </row>
    <row r="485" spans="1:14">
      <c r="A485" s="143" t="str">
        <f>IF(C485="","",VLOOKUP('Opći dio'!$C$3,'Opći dio'!$L$6:$U$137,10,FALSE))</f>
        <v/>
      </c>
      <c r="B485" s="143" t="str">
        <f>IF(C485="","",VLOOKUP('Opći dio'!$C$3,'Opći dio'!$L$6:$U$137,9,FALSE))</f>
        <v/>
      </c>
      <c r="C485" s="149"/>
      <c r="D485" s="144" t="str">
        <f t="shared" si="47"/>
        <v/>
      </c>
      <c r="E485" s="149"/>
      <c r="F485" s="144" t="str">
        <f t="shared" si="48"/>
        <v/>
      </c>
      <c r="G485" s="183"/>
      <c r="H485" s="144" t="str">
        <f t="shared" si="49"/>
        <v/>
      </c>
      <c r="I485" s="182"/>
      <c r="J485" s="182"/>
      <c r="K485" s="182"/>
      <c r="M485" s="139" t="str">
        <f t="shared" si="50"/>
        <v/>
      </c>
      <c r="N485" s="139" t="str">
        <f t="shared" si="51"/>
        <v/>
      </c>
    </row>
    <row r="486" spans="1:14">
      <c r="A486" s="143" t="str">
        <f>IF(C486="","",VLOOKUP('Opći dio'!$C$3,'Opći dio'!$L$6:$U$137,10,FALSE))</f>
        <v/>
      </c>
      <c r="B486" s="143" t="str">
        <f>IF(C486="","",VLOOKUP('Opći dio'!$C$3,'Opći dio'!$L$6:$U$137,9,FALSE))</f>
        <v/>
      </c>
      <c r="C486" s="149"/>
      <c r="D486" s="144" t="str">
        <f t="shared" si="47"/>
        <v/>
      </c>
      <c r="E486" s="149"/>
      <c r="F486" s="144" t="str">
        <f t="shared" si="48"/>
        <v/>
      </c>
      <c r="G486" s="183"/>
      <c r="H486" s="144" t="str">
        <f t="shared" si="49"/>
        <v/>
      </c>
      <c r="I486" s="182"/>
      <c r="J486" s="182"/>
      <c r="K486" s="182"/>
      <c r="M486" s="139" t="str">
        <f t="shared" si="50"/>
        <v/>
      </c>
      <c r="N486" s="139" t="str">
        <f t="shared" si="51"/>
        <v/>
      </c>
    </row>
    <row r="487" spans="1:14">
      <c r="A487" s="143" t="str">
        <f>IF(C487="","",VLOOKUP('Opći dio'!$C$3,'Opći dio'!$L$6:$U$137,10,FALSE))</f>
        <v/>
      </c>
      <c r="B487" s="143" t="str">
        <f>IF(C487="","",VLOOKUP('Opći dio'!$C$3,'Opći dio'!$L$6:$U$137,9,FALSE))</f>
        <v/>
      </c>
      <c r="C487" s="149"/>
      <c r="D487" s="144" t="str">
        <f t="shared" si="47"/>
        <v/>
      </c>
      <c r="E487" s="149"/>
      <c r="F487" s="144" t="str">
        <f t="shared" si="48"/>
        <v/>
      </c>
      <c r="G487" s="183"/>
      <c r="H487" s="144" t="str">
        <f t="shared" si="49"/>
        <v/>
      </c>
      <c r="I487" s="182"/>
      <c r="J487" s="182"/>
      <c r="K487" s="182"/>
      <c r="M487" s="139" t="str">
        <f t="shared" si="50"/>
        <v/>
      </c>
      <c r="N487" s="139" t="str">
        <f t="shared" si="51"/>
        <v/>
      </c>
    </row>
    <row r="488" spans="1:14">
      <c r="A488" s="143" t="str">
        <f>IF(C488="","",VLOOKUP('Opći dio'!$C$3,'Opći dio'!$L$6:$U$137,10,FALSE))</f>
        <v/>
      </c>
      <c r="B488" s="143" t="str">
        <f>IF(C488="","",VLOOKUP('Opći dio'!$C$3,'Opći dio'!$L$6:$U$137,9,FALSE))</f>
        <v/>
      </c>
      <c r="C488" s="149"/>
      <c r="D488" s="144" t="str">
        <f t="shared" si="47"/>
        <v/>
      </c>
      <c r="E488" s="149"/>
      <c r="F488" s="144" t="str">
        <f t="shared" si="48"/>
        <v/>
      </c>
      <c r="G488" s="183"/>
      <c r="H488" s="144" t="str">
        <f t="shared" si="49"/>
        <v/>
      </c>
      <c r="I488" s="182"/>
      <c r="J488" s="182"/>
      <c r="K488" s="182"/>
      <c r="M488" s="139" t="str">
        <f t="shared" si="50"/>
        <v/>
      </c>
      <c r="N488" s="139" t="str">
        <f t="shared" si="51"/>
        <v/>
      </c>
    </row>
    <row r="489" spans="1:14">
      <c r="A489" s="143" t="str">
        <f>IF(C489="","",VLOOKUP('Opći dio'!$C$3,'Opći dio'!$L$6:$U$137,10,FALSE))</f>
        <v/>
      </c>
      <c r="B489" s="143" t="str">
        <f>IF(C489="","",VLOOKUP('Opći dio'!$C$3,'Opći dio'!$L$6:$U$137,9,FALSE))</f>
        <v/>
      </c>
      <c r="C489" s="149"/>
      <c r="D489" s="144" t="str">
        <f t="shared" si="47"/>
        <v/>
      </c>
      <c r="E489" s="149"/>
      <c r="F489" s="144" t="str">
        <f t="shared" si="48"/>
        <v/>
      </c>
      <c r="G489" s="183"/>
      <c r="H489" s="144" t="str">
        <f t="shared" si="49"/>
        <v/>
      </c>
      <c r="I489" s="182"/>
      <c r="J489" s="182"/>
      <c r="K489" s="182"/>
      <c r="M489" s="139" t="str">
        <f t="shared" si="50"/>
        <v/>
      </c>
      <c r="N489" s="139" t="str">
        <f t="shared" si="51"/>
        <v/>
      </c>
    </row>
    <row r="490" spans="1:14">
      <c r="A490" s="143" t="str">
        <f>IF(C490="","",VLOOKUP('Opći dio'!$C$3,'Opći dio'!$L$6:$U$137,10,FALSE))</f>
        <v/>
      </c>
      <c r="B490" s="143" t="str">
        <f>IF(C490="","",VLOOKUP('Opći dio'!$C$3,'Opći dio'!$L$6:$U$137,9,FALSE))</f>
        <v/>
      </c>
      <c r="C490" s="149"/>
      <c r="D490" s="144" t="str">
        <f t="shared" si="47"/>
        <v/>
      </c>
      <c r="E490" s="149"/>
      <c r="F490" s="144" t="str">
        <f t="shared" si="48"/>
        <v/>
      </c>
      <c r="G490" s="183"/>
      <c r="H490" s="144" t="str">
        <f t="shared" si="49"/>
        <v/>
      </c>
      <c r="I490" s="182"/>
      <c r="J490" s="182"/>
      <c r="K490" s="182"/>
      <c r="M490" s="139" t="str">
        <f t="shared" si="50"/>
        <v/>
      </c>
      <c r="N490" s="139" t="str">
        <f t="shared" si="51"/>
        <v/>
      </c>
    </row>
    <row r="491" spans="1:14">
      <c r="A491" s="143" t="str">
        <f>IF(C491="","",VLOOKUP('Opći dio'!$C$3,'Opći dio'!$L$6:$U$137,10,FALSE))</f>
        <v/>
      </c>
      <c r="B491" s="143" t="str">
        <f>IF(C491="","",VLOOKUP('Opći dio'!$C$3,'Opći dio'!$L$6:$U$137,9,FALSE))</f>
        <v/>
      </c>
      <c r="C491" s="149"/>
      <c r="D491" s="144" t="str">
        <f t="shared" si="47"/>
        <v/>
      </c>
      <c r="E491" s="149"/>
      <c r="F491" s="144" t="str">
        <f t="shared" si="48"/>
        <v/>
      </c>
      <c r="G491" s="183"/>
      <c r="H491" s="144" t="str">
        <f t="shared" si="49"/>
        <v/>
      </c>
      <c r="I491" s="182"/>
      <c r="J491" s="182"/>
      <c r="K491" s="182"/>
      <c r="M491" s="139" t="str">
        <f t="shared" si="50"/>
        <v/>
      </c>
      <c r="N491" s="139" t="str">
        <f t="shared" si="51"/>
        <v/>
      </c>
    </row>
    <row r="492" spans="1:14">
      <c r="A492" s="143" t="str">
        <f>IF(C492="","",VLOOKUP('Opći dio'!$C$3,'Opći dio'!$L$6:$U$137,10,FALSE))</f>
        <v/>
      </c>
      <c r="B492" s="143" t="str">
        <f>IF(C492="","",VLOOKUP('Opći dio'!$C$3,'Opći dio'!$L$6:$U$137,9,FALSE))</f>
        <v/>
      </c>
      <c r="C492" s="149"/>
      <c r="D492" s="144" t="str">
        <f t="shared" si="47"/>
        <v/>
      </c>
      <c r="E492" s="149"/>
      <c r="F492" s="144" t="str">
        <f t="shared" si="48"/>
        <v/>
      </c>
      <c r="G492" s="183"/>
      <c r="H492" s="144" t="str">
        <f t="shared" si="49"/>
        <v/>
      </c>
      <c r="I492" s="182"/>
      <c r="J492" s="182"/>
      <c r="K492" s="182"/>
      <c r="M492" s="139" t="str">
        <f t="shared" si="50"/>
        <v/>
      </c>
      <c r="N492" s="139" t="str">
        <f t="shared" si="51"/>
        <v/>
      </c>
    </row>
    <row r="493" spans="1:14">
      <c r="A493" s="143" t="str">
        <f>IF(C493="","",VLOOKUP('Opći dio'!$C$3,'Opći dio'!$L$6:$U$137,10,FALSE))</f>
        <v/>
      </c>
      <c r="B493" s="143" t="str">
        <f>IF(C493="","",VLOOKUP('Opći dio'!$C$3,'Opći dio'!$L$6:$U$137,9,FALSE))</f>
        <v/>
      </c>
      <c r="C493" s="149"/>
      <c r="D493" s="144" t="str">
        <f t="shared" si="47"/>
        <v/>
      </c>
      <c r="E493" s="149"/>
      <c r="F493" s="144" t="str">
        <f t="shared" si="48"/>
        <v/>
      </c>
      <c r="G493" s="183"/>
      <c r="H493" s="144" t="str">
        <f t="shared" si="49"/>
        <v/>
      </c>
      <c r="I493" s="182"/>
      <c r="J493" s="182"/>
      <c r="K493" s="182"/>
      <c r="M493" s="139" t="str">
        <f t="shared" si="50"/>
        <v/>
      </c>
      <c r="N493" s="139" t="str">
        <f t="shared" si="51"/>
        <v/>
      </c>
    </row>
    <row r="494" spans="1:14">
      <c r="A494" s="143" t="str">
        <f>IF(C494="","",VLOOKUP('Opći dio'!$C$3,'Opći dio'!$L$6:$U$137,10,FALSE))</f>
        <v/>
      </c>
      <c r="B494" s="143" t="str">
        <f>IF(C494="","",VLOOKUP('Opći dio'!$C$3,'Opći dio'!$L$6:$U$137,9,FALSE))</f>
        <v/>
      </c>
      <c r="C494" s="149"/>
      <c r="D494" s="144" t="str">
        <f t="shared" si="47"/>
        <v/>
      </c>
      <c r="E494" s="149"/>
      <c r="F494" s="144" t="str">
        <f t="shared" si="48"/>
        <v/>
      </c>
      <c r="G494" s="183"/>
      <c r="H494" s="144" t="str">
        <f t="shared" si="49"/>
        <v/>
      </c>
      <c r="I494" s="182"/>
      <c r="J494" s="182"/>
      <c r="K494" s="182"/>
      <c r="M494" s="139" t="str">
        <f t="shared" si="50"/>
        <v/>
      </c>
      <c r="N494" s="139" t="str">
        <f t="shared" si="51"/>
        <v/>
      </c>
    </row>
    <row r="495" spans="1:14">
      <c r="A495" s="143" t="str">
        <f>IF(C495="","",VLOOKUP('Opći dio'!$C$3,'Opći dio'!$L$6:$U$137,10,FALSE))</f>
        <v/>
      </c>
      <c r="B495" s="143" t="str">
        <f>IF(C495="","",VLOOKUP('Opći dio'!$C$3,'Opći dio'!$L$6:$U$137,9,FALSE))</f>
        <v/>
      </c>
      <c r="C495" s="149"/>
      <c r="D495" s="144" t="str">
        <f t="shared" si="47"/>
        <v/>
      </c>
      <c r="E495" s="149"/>
      <c r="F495" s="144" t="str">
        <f t="shared" si="48"/>
        <v/>
      </c>
      <c r="G495" s="183"/>
      <c r="H495" s="144" t="str">
        <f t="shared" si="49"/>
        <v/>
      </c>
      <c r="I495" s="182"/>
      <c r="J495" s="182"/>
      <c r="K495" s="182"/>
      <c r="M495" s="139" t="str">
        <f t="shared" si="50"/>
        <v/>
      </c>
      <c r="N495" s="139" t="str">
        <f t="shared" si="51"/>
        <v/>
      </c>
    </row>
    <row r="496" spans="1:14">
      <c r="A496" s="143" t="str">
        <f>IF(C496="","",VLOOKUP('Opći dio'!$C$3,'Opći dio'!$L$6:$U$137,10,FALSE))</f>
        <v/>
      </c>
      <c r="B496" s="143" t="str">
        <f>IF(C496="","",VLOOKUP('Opći dio'!$C$3,'Opći dio'!$L$6:$U$137,9,FALSE))</f>
        <v/>
      </c>
      <c r="C496" s="149"/>
      <c r="D496" s="144" t="str">
        <f t="shared" si="47"/>
        <v/>
      </c>
      <c r="E496" s="149"/>
      <c r="F496" s="144" t="str">
        <f t="shared" si="48"/>
        <v/>
      </c>
      <c r="G496" s="183"/>
      <c r="H496" s="144" t="str">
        <f t="shared" si="49"/>
        <v/>
      </c>
      <c r="I496" s="182"/>
      <c r="J496" s="182"/>
      <c r="K496" s="182"/>
      <c r="M496" s="139" t="str">
        <f t="shared" si="50"/>
        <v/>
      </c>
      <c r="N496" s="139" t="str">
        <f t="shared" si="51"/>
        <v/>
      </c>
    </row>
    <row r="497" spans="1:14">
      <c r="A497" s="143" t="str">
        <f>IF(C497="","",VLOOKUP('Opći dio'!$C$3,'Opći dio'!$L$6:$U$137,10,FALSE))</f>
        <v/>
      </c>
      <c r="B497" s="143" t="str">
        <f>IF(C497="","",VLOOKUP('Opći dio'!$C$3,'Opći dio'!$L$6:$U$137,9,FALSE))</f>
        <v/>
      </c>
      <c r="C497" s="149"/>
      <c r="D497" s="144" t="str">
        <f t="shared" si="47"/>
        <v/>
      </c>
      <c r="E497" s="149"/>
      <c r="F497" s="144" t="str">
        <f t="shared" si="48"/>
        <v/>
      </c>
      <c r="G497" s="183"/>
      <c r="H497" s="144" t="str">
        <f t="shared" si="49"/>
        <v/>
      </c>
      <c r="I497" s="182"/>
      <c r="J497" s="182"/>
      <c r="K497" s="182"/>
      <c r="M497" s="139" t="str">
        <f t="shared" si="50"/>
        <v/>
      </c>
      <c r="N497" s="139" t="str">
        <f t="shared" si="51"/>
        <v/>
      </c>
    </row>
    <row r="498" spans="1:14">
      <c r="A498" s="143" t="str">
        <f>IF(C498="","",VLOOKUP('Opći dio'!$C$3,'Opći dio'!$L$6:$U$137,10,FALSE))</f>
        <v/>
      </c>
      <c r="B498" s="143" t="str">
        <f>IF(C498="","",VLOOKUP('Opći dio'!$C$3,'Opći dio'!$L$6:$U$137,9,FALSE))</f>
        <v/>
      </c>
      <c r="C498" s="149"/>
      <c r="D498" s="144" t="str">
        <f t="shared" si="47"/>
        <v/>
      </c>
      <c r="E498" s="149"/>
      <c r="F498" s="144" t="str">
        <f t="shared" si="48"/>
        <v/>
      </c>
      <c r="G498" s="183"/>
      <c r="H498" s="144" t="str">
        <f t="shared" si="49"/>
        <v/>
      </c>
      <c r="I498" s="182"/>
      <c r="J498" s="182"/>
      <c r="K498" s="182"/>
      <c r="M498" s="139" t="str">
        <f t="shared" si="50"/>
        <v/>
      </c>
      <c r="N498" s="139" t="str">
        <f t="shared" si="51"/>
        <v/>
      </c>
    </row>
    <row r="499" spans="1:14">
      <c r="A499" s="143" t="str">
        <f>IF(C499="","",VLOOKUP('Opći dio'!$C$3,'Opći dio'!$L$6:$U$137,10,FALSE))</f>
        <v/>
      </c>
      <c r="B499" s="143" t="str">
        <f>IF(C499="","",VLOOKUP('Opći dio'!$C$3,'Opći dio'!$L$6:$U$137,9,FALSE))</f>
        <v/>
      </c>
      <c r="C499" s="149"/>
      <c r="D499" s="144" t="str">
        <f t="shared" si="47"/>
        <v/>
      </c>
      <c r="E499" s="149"/>
      <c r="F499" s="144" t="str">
        <f t="shared" si="48"/>
        <v/>
      </c>
      <c r="G499" s="183"/>
      <c r="H499" s="144" t="str">
        <f t="shared" si="49"/>
        <v/>
      </c>
      <c r="I499" s="182"/>
      <c r="J499" s="182"/>
      <c r="K499" s="182"/>
      <c r="M499" s="139" t="str">
        <f t="shared" si="50"/>
        <v/>
      </c>
      <c r="N499" s="139" t="str">
        <f t="shared" si="51"/>
        <v/>
      </c>
    </row>
    <row r="500" spans="1:14">
      <c r="A500" s="143" t="str">
        <f>IF(C500="","",VLOOKUP('Opći dio'!$C$3,'Opći dio'!$L$6:$U$137,10,FALSE))</f>
        <v/>
      </c>
      <c r="B500" s="143" t="str">
        <f>IF(C500="","",VLOOKUP('Opći dio'!$C$3,'Opći dio'!$L$6:$U$137,9,FALSE))</f>
        <v/>
      </c>
      <c r="C500" s="149"/>
      <c r="D500" s="144" t="str">
        <f t="shared" si="47"/>
        <v/>
      </c>
      <c r="E500" s="149"/>
      <c r="F500" s="144" t="str">
        <f t="shared" si="48"/>
        <v/>
      </c>
      <c r="G500" s="183"/>
      <c r="H500" s="144" t="str">
        <f t="shared" si="49"/>
        <v/>
      </c>
      <c r="I500" s="182"/>
      <c r="J500" s="182"/>
      <c r="K500" s="182"/>
      <c r="M500" s="139" t="str">
        <f t="shared" si="50"/>
        <v/>
      </c>
      <c r="N500" s="139" t="str">
        <f t="shared" si="51"/>
        <v/>
      </c>
    </row>
    <row r="501" spans="1:14">
      <c r="A501" s="143" t="str">
        <f>IF(C501="","",VLOOKUP('Opći dio'!$C$3,'Opći dio'!$L$6:$U$137,10,FALSE))</f>
        <v/>
      </c>
      <c r="B501" s="143" t="str">
        <f>IF(C501="","",VLOOKUP('Opći dio'!$C$3,'Opći dio'!$L$6:$U$137,9,FALSE))</f>
        <v/>
      </c>
      <c r="C501" s="149"/>
      <c r="D501" s="144" t="str">
        <f t="shared" si="47"/>
        <v/>
      </c>
      <c r="E501" s="149"/>
      <c r="F501" s="144" t="str">
        <f t="shared" si="48"/>
        <v/>
      </c>
      <c r="G501" s="183"/>
      <c r="H501" s="144" t="str">
        <f t="shared" si="49"/>
        <v/>
      </c>
      <c r="I501" s="182"/>
      <c r="J501" s="182"/>
      <c r="K501" s="182"/>
      <c r="M501" s="139" t="str">
        <f t="shared" si="50"/>
        <v/>
      </c>
      <c r="N501" s="139" t="str">
        <f t="shared" si="51"/>
        <v/>
      </c>
    </row>
    <row r="502" spans="1:14"/>
    <row r="503" spans="1:14" hidden="1"/>
    <row r="504" spans="1:14" hidden="1"/>
    <row r="505" spans="1:14" hidden="1"/>
    <row r="506" spans="1:14" hidden="1"/>
    <row r="507" spans="1:14" hidden="1"/>
  </sheetData>
  <sheetProtection algorithmName="SHA-512" hashValue="yPak/NvaTUwZ8e9+05Fi5seQ8hYcXDXASNUH4v51O+0mAOsd+ZR2pHli8g47IhhJ0atV0HXpR2mgLWdVGkz7Sg==" saltValue="z4571xkwZLqswSj4X0Rfzw==" spinCount="100000" sheet="1" selectLockedCells="1"/>
  <sortState ref="X9:Y71">
    <sortCondition ref="X6"/>
  </sortState>
  <mergeCells count="1">
    <mergeCell ref="A1:D1"/>
  </mergeCells>
  <dataValidations xWindow="814" yWindow="422" count="4"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$X$6:$X$279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B1018"/>
  <sheetViews>
    <sheetView showGridLines="0" zoomScaleNormal="100" workbookViewId="0">
      <pane ySplit="2" topLeftCell="A3" activePane="bottomLeft" state="frozen"/>
      <selection pane="bottomLeft" activeCell="G17" sqref="G17"/>
    </sheetView>
  </sheetViews>
  <sheetFormatPr defaultColWidth="0" defaultRowHeight="15" zeroHeight="1"/>
  <cols>
    <col min="1" max="1" width="11.5703125" style="139" customWidth="1"/>
    <col min="2" max="2" width="32.140625" style="139" customWidth="1"/>
    <col min="3" max="3" width="11.28515625" style="139" customWidth="1"/>
    <col min="4" max="4" width="25.42578125" style="139" customWidth="1"/>
    <col min="5" max="5" width="16.42578125" style="139" customWidth="1"/>
    <col min="6" max="6" width="27.140625" style="139" customWidth="1"/>
    <col min="7" max="7" width="16.42578125" style="140" customWidth="1"/>
    <col min="8" max="8" width="15.7109375" style="140" customWidth="1"/>
    <col min="9" max="9" width="15.140625" style="140" customWidth="1"/>
    <col min="10" max="10" width="33.7109375" style="140" customWidth="1"/>
    <col min="11" max="12" width="9.5703125" style="140" customWidth="1"/>
    <col min="13" max="13" width="15.140625" style="140" customWidth="1"/>
    <col min="14" max="14" width="18.28515625" style="140" customWidth="1"/>
    <col min="15" max="15" width="9.140625" style="139" customWidth="1"/>
    <col min="16" max="18" width="9.140625" style="139" hidden="1" customWidth="1"/>
    <col min="19" max="19" width="46.5703125" style="139" hidden="1" customWidth="1"/>
    <col min="20" max="21" width="9.140625" style="139" hidden="1" customWidth="1"/>
    <col min="22" max="22" width="58.85546875" style="139" hidden="1" customWidth="1"/>
    <col min="23" max="26" width="9.140625" style="139" hidden="1" customWidth="1"/>
    <col min="27" max="27" width="14.7109375" style="139" hidden="1" customWidth="1"/>
    <col min="28" max="16384" width="9.140625" style="139" hidden="1"/>
  </cols>
  <sheetData>
    <row r="1" spans="1:28" ht="35.25" customHeight="1">
      <c r="A1" s="276" t="s">
        <v>766</v>
      </c>
      <c r="B1" s="276"/>
      <c r="C1" s="187" t="str">
        <f>IF('Opći dio'!C3="odaberite -","Molimo odaberite proračunskog korisnika na radnom listu Opći podaci!","")</f>
        <v/>
      </c>
    </row>
    <row r="2" spans="1:28" ht="60">
      <c r="A2" s="199" t="s">
        <v>760</v>
      </c>
      <c r="B2" s="200" t="s">
        <v>45</v>
      </c>
      <c r="C2" s="199" t="s">
        <v>758</v>
      </c>
      <c r="D2" s="200" t="s">
        <v>759</v>
      </c>
      <c r="E2" s="199" t="s">
        <v>767</v>
      </c>
      <c r="F2" s="200" t="s">
        <v>47</v>
      </c>
      <c r="G2" s="189" t="s">
        <v>1984</v>
      </c>
      <c r="H2" s="189" t="s">
        <v>1985</v>
      </c>
      <c r="I2" s="189" t="s">
        <v>1986</v>
      </c>
      <c r="J2" s="201" t="s">
        <v>768</v>
      </c>
      <c r="K2" s="201" t="s">
        <v>769</v>
      </c>
      <c r="L2" s="201" t="s">
        <v>770</v>
      </c>
      <c r="M2" s="201" t="s">
        <v>771</v>
      </c>
      <c r="N2" s="201" t="s">
        <v>772</v>
      </c>
      <c r="P2" s="142" t="s">
        <v>733</v>
      </c>
      <c r="Q2" s="142" t="s">
        <v>734</v>
      </c>
    </row>
    <row r="3" spans="1:28">
      <c r="A3" s="149">
        <v>51</v>
      </c>
      <c r="B3" s="144" t="str">
        <f t="shared" ref="B3" si="0">IFERROR(VLOOKUP(A3,$R$6:$S$23,2,FALSE),"")</f>
        <v>Pomoći EU</v>
      </c>
      <c r="C3" s="149">
        <v>3237</v>
      </c>
      <c r="D3" s="144" t="str">
        <f>IFERROR(VLOOKUP(C3,$U$5:$W$129,2,FALSE),"")</f>
        <v>Intelektualne i osobne usluge</v>
      </c>
      <c r="E3" s="183" t="s">
        <v>2265</v>
      </c>
      <c r="F3" s="144" t="str">
        <f>IFERROR(VLOOKUP(E3,$AA$6:$AB$1018,2,FALSE),"")</f>
        <v>Jean Monnet Module  Language and EU Law Excellence</v>
      </c>
      <c r="G3" s="182">
        <v>37260</v>
      </c>
      <c r="H3" s="182">
        <v>54000</v>
      </c>
      <c r="I3" s="182">
        <v>0</v>
      </c>
      <c r="J3" s="198"/>
      <c r="K3" s="197"/>
      <c r="L3" s="197"/>
      <c r="M3" s="198"/>
      <c r="N3" s="198"/>
      <c r="P3" s="139" t="str">
        <f>LEFT(C3,3)</f>
        <v>323</v>
      </c>
      <c r="Q3" s="139" t="str">
        <f>LEFT(C3,2)</f>
        <v>32</v>
      </c>
    </row>
    <row r="4" spans="1:28">
      <c r="A4" s="149">
        <v>51</v>
      </c>
      <c r="B4" s="144" t="str">
        <f t="shared" ref="B4:B67" si="1">IFERROR(VLOOKUP(A4,$R$6:$S$23,2,FALSE),"")</f>
        <v>Pomoći EU</v>
      </c>
      <c r="C4" s="149">
        <v>3239</v>
      </c>
      <c r="D4" s="144" t="str">
        <f t="shared" ref="D4:D67" si="2">IFERROR(VLOOKUP(C4,$U$5:$W$129,2,FALSE),"")</f>
        <v>Ostale usluge</v>
      </c>
      <c r="E4" s="183" t="s">
        <v>2265</v>
      </c>
      <c r="F4" s="144" t="str">
        <f t="shared" ref="F4:F67" si="3">IFERROR(VLOOKUP(E4,$AA$6:$AB$1018,2,FALSE),"")</f>
        <v>Jean Monnet Module  Language and EU Law Excellence</v>
      </c>
      <c r="G4" s="182">
        <v>1380</v>
      </c>
      <c r="H4" s="182">
        <v>7000</v>
      </c>
      <c r="I4" s="182">
        <v>0</v>
      </c>
      <c r="J4" s="198"/>
      <c r="K4" s="197"/>
      <c r="L4" s="197"/>
      <c r="M4" s="198"/>
      <c r="N4" s="198"/>
      <c r="P4" s="139" t="str">
        <f t="shared" ref="P4:P67" si="4">LEFT(C4,3)</f>
        <v>323</v>
      </c>
      <c r="Q4" s="139" t="str">
        <f t="shared" ref="Q4:Q67" si="5">LEFT(C4,2)</f>
        <v>32</v>
      </c>
      <c r="U4" s="145"/>
      <c r="V4" s="145"/>
    </row>
    <row r="5" spans="1:28">
      <c r="A5" s="149">
        <v>51</v>
      </c>
      <c r="B5" s="144" t="str">
        <f t="shared" si="1"/>
        <v>Pomoći EU</v>
      </c>
      <c r="C5" s="149">
        <v>3241</v>
      </c>
      <c r="D5" s="144" t="str">
        <f t="shared" si="2"/>
        <v>Naknade troškova osobama izvan radnog odnosa</v>
      </c>
      <c r="E5" s="183" t="s">
        <v>2265</v>
      </c>
      <c r="F5" s="144" t="str">
        <f t="shared" si="3"/>
        <v>Jean Monnet Module  Language and EU Law Excellence</v>
      </c>
      <c r="G5" s="182">
        <v>6210</v>
      </c>
      <c r="H5" s="182">
        <v>34000</v>
      </c>
      <c r="I5" s="182">
        <v>0</v>
      </c>
      <c r="J5" s="198"/>
      <c r="K5" s="197"/>
      <c r="L5" s="197"/>
      <c r="M5" s="198"/>
      <c r="N5" s="198"/>
      <c r="P5" s="139" t="str">
        <f t="shared" si="4"/>
        <v>324</v>
      </c>
      <c r="Q5" s="139" t="str">
        <f t="shared" si="5"/>
        <v>32</v>
      </c>
      <c r="R5" s="139" t="s">
        <v>44</v>
      </c>
      <c r="S5" s="139" t="s">
        <v>45</v>
      </c>
      <c r="U5" s="139">
        <v>3111</v>
      </c>
      <c r="V5" s="139" t="s">
        <v>51</v>
      </c>
      <c r="X5" s="139" t="str">
        <f t="shared" ref="X5:X68" si="6">LEFT(U5,2)</f>
        <v>31</v>
      </c>
      <c r="Y5" s="139" t="str">
        <f>LEFT(U5,3)</f>
        <v>311</v>
      </c>
      <c r="AA5" s="139" t="s">
        <v>46</v>
      </c>
      <c r="AB5" s="139" t="s">
        <v>47</v>
      </c>
    </row>
    <row r="6" spans="1:28">
      <c r="A6" s="149">
        <v>51</v>
      </c>
      <c r="B6" s="144" t="str">
        <f t="shared" si="1"/>
        <v>Pomoći EU</v>
      </c>
      <c r="C6" s="149">
        <v>3293</v>
      </c>
      <c r="D6" s="144" t="str">
        <f t="shared" si="2"/>
        <v>Reprezentacija</v>
      </c>
      <c r="E6" s="183" t="s">
        <v>2265</v>
      </c>
      <c r="F6" s="144" t="str">
        <f t="shared" si="3"/>
        <v>Jean Monnet Module  Language and EU Law Excellence</v>
      </c>
      <c r="G6" s="182">
        <v>2070</v>
      </c>
      <c r="H6" s="182">
        <v>10000</v>
      </c>
      <c r="I6" s="182">
        <v>0</v>
      </c>
      <c r="J6" s="198"/>
      <c r="K6" s="197"/>
      <c r="L6" s="197"/>
      <c r="M6" s="198"/>
      <c r="N6" s="198"/>
      <c r="P6" s="139" t="str">
        <f t="shared" si="4"/>
        <v>329</v>
      </c>
      <c r="Q6" s="139" t="str">
        <f t="shared" si="5"/>
        <v>32</v>
      </c>
      <c r="R6" s="139">
        <v>11</v>
      </c>
      <c r="S6" s="139" t="s">
        <v>50</v>
      </c>
      <c r="U6" s="139">
        <v>3112</v>
      </c>
      <c r="V6" s="139" t="s">
        <v>150</v>
      </c>
      <c r="X6" s="139" t="str">
        <f t="shared" si="6"/>
        <v>31</v>
      </c>
      <c r="Y6" s="139" t="str">
        <f t="shared" ref="Y6:Y69" si="7">LEFT(U6,3)</f>
        <v>311</v>
      </c>
      <c r="AA6" s="139" t="s">
        <v>801</v>
      </c>
      <c r="AB6" s="139" t="s">
        <v>801</v>
      </c>
    </row>
    <row r="7" spans="1:28">
      <c r="A7" s="149">
        <v>52</v>
      </c>
      <c r="B7" s="144" t="str">
        <f t="shared" si="1"/>
        <v>Ostale pomoći</v>
      </c>
      <c r="C7" s="149">
        <v>3111</v>
      </c>
      <c r="D7" s="144" t="str">
        <f t="shared" si="2"/>
        <v>Plaće za redovan rad</v>
      </c>
      <c r="E7" s="183" t="s">
        <v>1425</v>
      </c>
      <c r="F7" s="144" t="str">
        <f t="shared" si="3"/>
        <v>Unaprjeđenje kvalitete studiranja na pravnim fakultetima u Hrvatskoj</v>
      </c>
      <c r="G7" s="182">
        <v>7287</v>
      </c>
      <c r="H7" s="182">
        <v>0</v>
      </c>
      <c r="I7" s="182">
        <v>0</v>
      </c>
      <c r="J7" s="198"/>
      <c r="K7" s="197"/>
      <c r="L7" s="197"/>
      <c r="M7" s="198"/>
      <c r="N7" s="198"/>
      <c r="P7" s="139" t="str">
        <f t="shared" si="4"/>
        <v>311</v>
      </c>
      <c r="Q7" s="139" t="str">
        <f t="shared" si="5"/>
        <v>31</v>
      </c>
      <c r="R7" s="139">
        <v>12</v>
      </c>
      <c r="S7" s="139" t="s">
        <v>257</v>
      </c>
      <c r="U7" s="139">
        <v>3113</v>
      </c>
      <c r="V7" s="139" t="s">
        <v>129</v>
      </c>
      <c r="X7" s="139" t="str">
        <f t="shared" si="6"/>
        <v>31</v>
      </c>
      <c r="Y7" s="139" t="str">
        <f t="shared" si="7"/>
        <v>311</v>
      </c>
      <c r="AA7" s="139" t="s">
        <v>1313</v>
      </c>
      <c r="AB7" s="139" t="s">
        <v>1314</v>
      </c>
    </row>
    <row r="8" spans="1:28">
      <c r="A8" s="149">
        <v>52</v>
      </c>
      <c r="B8" s="144" t="str">
        <f t="shared" si="1"/>
        <v>Ostale pomoći</v>
      </c>
      <c r="C8" s="149">
        <v>3132</v>
      </c>
      <c r="D8" s="144" t="str">
        <f t="shared" si="2"/>
        <v>Doprinosi za obvezno zdravstveno osiguranje</v>
      </c>
      <c r="E8" s="183" t="s">
        <v>1425</v>
      </c>
      <c r="F8" s="144" t="str">
        <f t="shared" si="3"/>
        <v>Unaprjeđenje kvalitete studiranja na pravnim fakultetima u Hrvatskoj</v>
      </c>
      <c r="G8" s="182">
        <v>1186</v>
      </c>
      <c r="H8" s="182">
        <v>0</v>
      </c>
      <c r="I8" s="182">
        <v>0</v>
      </c>
      <c r="J8" s="198"/>
      <c r="K8" s="197"/>
      <c r="L8" s="197"/>
      <c r="M8" s="198"/>
      <c r="N8" s="198"/>
      <c r="P8" s="139" t="str">
        <f t="shared" si="4"/>
        <v>313</v>
      </c>
      <c r="Q8" s="139" t="str">
        <f t="shared" si="5"/>
        <v>31</v>
      </c>
      <c r="R8" s="139">
        <v>31</v>
      </c>
      <c r="S8" s="139" t="s">
        <v>95</v>
      </c>
      <c r="U8" s="139">
        <v>3114</v>
      </c>
      <c r="V8" s="139" t="s">
        <v>151</v>
      </c>
      <c r="X8" s="139" t="str">
        <f t="shared" si="6"/>
        <v>31</v>
      </c>
      <c r="Y8" s="139" t="str">
        <f t="shared" si="7"/>
        <v>311</v>
      </c>
      <c r="AA8" s="139" t="s">
        <v>1315</v>
      </c>
      <c r="AB8" s="139" t="s">
        <v>1316</v>
      </c>
    </row>
    <row r="9" spans="1:28">
      <c r="A9" s="149">
        <v>52</v>
      </c>
      <c r="B9" s="144" t="str">
        <f t="shared" si="1"/>
        <v>Ostale pomoći</v>
      </c>
      <c r="C9" s="149">
        <v>3211</v>
      </c>
      <c r="D9" s="144" t="str">
        <f t="shared" si="2"/>
        <v>Službena putovanja</v>
      </c>
      <c r="E9" s="183" t="s">
        <v>1425</v>
      </c>
      <c r="F9" s="144" t="str">
        <f t="shared" si="3"/>
        <v>Unaprjeđenje kvalitete studiranja na pravnim fakultetima u Hrvatskoj</v>
      </c>
      <c r="G9" s="182">
        <v>8474</v>
      </c>
      <c r="H9" s="182">
        <v>0</v>
      </c>
      <c r="I9" s="182">
        <v>0</v>
      </c>
      <c r="J9" s="198"/>
      <c r="K9" s="197"/>
      <c r="L9" s="197"/>
      <c r="M9" s="198"/>
      <c r="N9" s="198"/>
      <c r="P9" s="139" t="str">
        <f t="shared" si="4"/>
        <v>321</v>
      </c>
      <c r="Q9" s="139" t="str">
        <f t="shared" si="5"/>
        <v>32</v>
      </c>
      <c r="R9">
        <v>41</v>
      </c>
      <c r="S9" t="s">
        <v>1353</v>
      </c>
      <c r="U9" s="139">
        <v>3121</v>
      </c>
      <c r="V9" s="139" t="s">
        <v>54</v>
      </c>
      <c r="X9" s="139" t="str">
        <f t="shared" si="6"/>
        <v>31</v>
      </c>
      <c r="Y9" s="139" t="str">
        <f t="shared" si="7"/>
        <v>312</v>
      </c>
      <c r="AA9" s="139" t="s">
        <v>1317</v>
      </c>
      <c r="AB9" s="139" t="s">
        <v>1318</v>
      </c>
    </row>
    <row r="10" spans="1:28">
      <c r="A10" s="149">
        <v>52</v>
      </c>
      <c r="B10" s="144" t="str">
        <f t="shared" si="1"/>
        <v>Ostale pomoći</v>
      </c>
      <c r="C10" s="149">
        <v>3111</v>
      </c>
      <c r="D10" s="144" t="str">
        <f t="shared" si="2"/>
        <v>Plaće za redovan rad</v>
      </c>
      <c r="E10" s="183" t="s">
        <v>2305</v>
      </c>
      <c r="F10" s="144" t="str">
        <f t="shared" si="3"/>
        <v>'Erasmus + 'Time to Become Digital in Law - DIGinLAW</v>
      </c>
      <c r="G10" s="182">
        <v>67788</v>
      </c>
      <c r="H10" s="182">
        <v>120000</v>
      </c>
      <c r="I10" s="182">
        <v>0</v>
      </c>
      <c r="J10" s="198"/>
      <c r="K10" s="197"/>
      <c r="L10" s="197"/>
      <c r="M10" s="198"/>
      <c r="N10" s="198"/>
      <c r="P10" s="139" t="str">
        <f t="shared" si="4"/>
        <v>311</v>
      </c>
      <c r="Q10" s="139" t="str">
        <f t="shared" si="5"/>
        <v>31</v>
      </c>
      <c r="R10" s="139">
        <v>43</v>
      </c>
      <c r="S10" s="139" t="s">
        <v>100</v>
      </c>
      <c r="U10" s="192">
        <v>3132</v>
      </c>
      <c r="V10" s="192" t="s">
        <v>55</v>
      </c>
      <c r="W10" s="192"/>
      <c r="X10" s="192" t="str">
        <f t="shared" si="6"/>
        <v>31</v>
      </c>
      <c r="Y10" s="192" t="str">
        <f t="shared" si="7"/>
        <v>313</v>
      </c>
      <c r="AA10" s="139" t="s">
        <v>1319</v>
      </c>
      <c r="AB10" s="139" t="s">
        <v>341</v>
      </c>
    </row>
    <row r="11" spans="1:28">
      <c r="A11" s="149">
        <v>52</v>
      </c>
      <c r="B11" s="144" t="str">
        <f t="shared" si="1"/>
        <v>Ostale pomoći</v>
      </c>
      <c r="C11" s="149">
        <v>3132</v>
      </c>
      <c r="D11" s="144" t="str">
        <f t="shared" si="2"/>
        <v>Doprinosi za obvezno zdravstveno osiguranje</v>
      </c>
      <c r="E11" s="183" t="s">
        <v>2305</v>
      </c>
      <c r="F11" s="144" t="str">
        <f t="shared" si="3"/>
        <v>'Erasmus + 'Time to Become Digital in Law - DIGinLAW</v>
      </c>
      <c r="G11" s="182">
        <v>11298</v>
      </c>
      <c r="H11" s="182">
        <v>20000</v>
      </c>
      <c r="I11" s="182">
        <v>0</v>
      </c>
      <c r="J11" s="198"/>
      <c r="K11" s="197"/>
      <c r="L11" s="197"/>
      <c r="M11" s="198"/>
      <c r="N11" s="198"/>
      <c r="P11" s="139" t="str">
        <f t="shared" si="4"/>
        <v>313</v>
      </c>
      <c r="Q11" s="139" t="str">
        <f t="shared" si="5"/>
        <v>31</v>
      </c>
      <c r="R11" s="139">
        <v>51</v>
      </c>
      <c r="S11" s="139" t="s">
        <v>90</v>
      </c>
      <c r="U11" s="139">
        <v>3211</v>
      </c>
      <c r="V11" s="139" t="s">
        <v>82</v>
      </c>
      <c r="X11" s="139" t="str">
        <f t="shared" si="6"/>
        <v>32</v>
      </c>
      <c r="Y11" s="139" t="str">
        <f t="shared" si="7"/>
        <v>321</v>
      </c>
      <c r="AA11" s="139" t="s">
        <v>1320</v>
      </c>
      <c r="AB11" s="139" t="s">
        <v>1321</v>
      </c>
    </row>
    <row r="12" spans="1:28">
      <c r="A12" s="149">
        <v>52</v>
      </c>
      <c r="B12" s="144" t="str">
        <f t="shared" si="1"/>
        <v>Ostale pomoći</v>
      </c>
      <c r="C12" s="149">
        <v>3211</v>
      </c>
      <c r="D12" s="144" t="str">
        <f t="shared" si="2"/>
        <v>Službena putovanja</v>
      </c>
      <c r="E12" s="183" t="s">
        <v>2305</v>
      </c>
      <c r="F12" s="144" t="str">
        <f t="shared" si="3"/>
        <v>'Erasmus + 'Time to Become Digital in Law - DIGinLAW</v>
      </c>
      <c r="G12" s="182">
        <v>71460</v>
      </c>
      <c r="H12" s="182">
        <v>0</v>
      </c>
      <c r="I12" s="182">
        <v>0</v>
      </c>
      <c r="J12" s="198"/>
      <c r="K12" s="197"/>
      <c r="L12" s="197"/>
      <c r="M12" s="198"/>
      <c r="N12" s="198"/>
      <c r="P12" s="139" t="str">
        <f t="shared" si="4"/>
        <v>321</v>
      </c>
      <c r="Q12" s="139" t="str">
        <f t="shared" si="5"/>
        <v>32</v>
      </c>
      <c r="R12" s="139">
        <v>52</v>
      </c>
      <c r="S12" s="139" t="s">
        <v>113</v>
      </c>
      <c r="U12" s="139">
        <v>3212</v>
      </c>
      <c r="V12" s="139" t="s">
        <v>56</v>
      </c>
      <c r="X12" s="139" t="str">
        <f t="shared" si="6"/>
        <v>32</v>
      </c>
      <c r="Y12" s="139" t="str">
        <f t="shared" si="7"/>
        <v>321</v>
      </c>
      <c r="AA12" s="139" t="s">
        <v>1322</v>
      </c>
      <c r="AB12" s="139" t="s">
        <v>1323</v>
      </c>
    </row>
    <row r="13" spans="1:28">
      <c r="A13" s="149">
        <v>52</v>
      </c>
      <c r="B13" s="144" t="str">
        <f t="shared" si="1"/>
        <v>Ostale pomoći</v>
      </c>
      <c r="C13" s="149">
        <v>3233</v>
      </c>
      <c r="D13" s="144" t="str">
        <f t="shared" si="2"/>
        <v>Usluge promidžbe i informiranja</v>
      </c>
      <c r="E13" s="183" t="s">
        <v>2305</v>
      </c>
      <c r="F13" s="144" t="str">
        <f t="shared" si="3"/>
        <v>'Erasmus + 'Time to Become Digital in Law - DIGinLAW</v>
      </c>
      <c r="G13" s="182">
        <v>5649</v>
      </c>
      <c r="H13" s="182">
        <v>0</v>
      </c>
      <c r="I13" s="182">
        <v>0</v>
      </c>
      <c r="J13" s="198"/>
      <c r="K13" s="197"/>
      <c r="L13" s="197"/>
      <c r="M13" s="198"/>
      <c r="N13" s="198"/>
      <c r="P13" s="139" t="str">
        <f t="shared" si="4"/>
        <v>323</v>
      </c>
      <c r="Q13" s="139" t="str">
        <f t="shared" si="5"/>
        <v>32</v>
      </c>
      <c r="R13">
        <v>552</v>
      </c>
      <c r="S13" t="s">
        <v>1354</v>
      </c>
      <c r="U13" s="139">
        <v>3213</v>
      </c>
      <c r="V13" s="139" t="s">
        <v>101</v>
      </c>
      <c r="X13" s="139" t="str">
        <f t="shared" si="6"/>
        <v>32</v>
      </c>
      <c r="Y13" s="139" t="str">
        <f t="shared" si="7"/>
        <v>321</v>
      </c>
      <c r="AA13" s="139" t="s">
        <v>1324</v>
      </c>
      <c r="AB13" s="139" t="s">
        <v>1325</v>
      </c>
    </row>
    <row r="14" spans="1:28">
      <c r="A14" s="149">
        <v>52</v>
      </c>
      <c r="B14" s="144" t="str">
        <f t="shared" si="1"/>
        <v>Ostale pomoći</v>
      </c>
      <c r="C14" s="149">
        <v>3239</v>
      </c>
      <c r="D14" s="144" t="str">
        <f t="shared" si="2"/>
        <v>Ostale usluge</v>
      </c>
      <c r="E14" s="183" t="s">
        <v>2305</v>
      </c>
      <c r="F14" s="144" t="str">
        <f t="shared" si="3"/>
        <v>'Erasmus + 'Time to Become Digital in Law - DIGinLAW</v>
      </c>
      <c r="G14" s="182">
        <v>11298</v>
      </c>
      <c r="H14" s="182">
        <v>10000</v>
      </c>
      <c r="I14" s="182">
        <v>0</v>
      </c>
      <c r="J14" s="198"/>
      <c r="K14" s="197"/>
      <c r="L14" s="197"/>
      <c r="M14" s="198"/>
      <c r="N14" s="198"/>
      <c r="P14" s="139" t="str">
        <f t="shared" si="4"/>
        <v>323</v>
      </c>
      <c r="Q14" s="139" t="str">
        <f t="shared" si="5"/>
        <v>32</v>
      </c>
      <c r="R14">
        <v>559</v>
      </c>
      <c r="S14" t="s">
        <v>1355</v>
      </c>
      <c r="U14" s="139">
        <v>3214</v>
      </c>
      <c r="V14" s="139" t="s">
        <v>130</v>
      </c>
      <c r="X14" s="139" t="str">
        <f t="shared" si="6"/>
        <v>32</v>
      </c>
      <c r="Y14" s="139" t="str">
        <f t="shared" si="7"/>
        <v>321</v>
      </c>
      <c r="AA14" s="139" t="s">
        <v>1326</v>
      </c>
      <c r="AB14" s="139" t="s">
        <v>1327</v>
      </c>
    </row>
    <row r="15" spans="1:28">
      <c r="A15" s="149">
        <v>52</v>
      </c>
      <c r="B15" s="144" t="str">
        <f t="shared" si="1"/>
        <v>Ostale pomoći</v>
      </c>
      <c r="C15" s="149">
        <v>3293</v>
      </c>
      <c r="D15" s="144" t="str">
        <f t="shared" si="2"/>
        <v>Reprezentacija</v>
      </c>
      <c r="E15" s="183" t="s">
        <v>2305</v>
      </c>
      <c r="F15" s="144" t="str">
        <f t="shared" si="3"/>
        <v>'Erasmus + 'Time to Become Digital in Law - DIGinLAW</v>
      </c>
      <c r="G15" s="182">
        <v>25421</v>
      </c>
      <c r="H15" s="182">
        <v>0</v>
      </c>
      <c r="I15" s="182">
        <v>0</v>
      </c>
      <c r="J15" s="198"/>
      <c r="K15" s="197"/>
      <c r="L15" s="197"/>
      <c r="M15" s="198"/>
      <c r="N15" s="198"/>
      <c r="P15" s="139" t="str">
        <f t="shared" si="4"/>
        <v>329</v>
      </c>
      <c r="Q15" s="139" t="str">
        <f t="shared" si="5"/>
        <v>32</v>
      </c>
      <c r="R15" s="139">
        <v>561</v>
      </c>
      <c r="S15" s="139" t="s">
        <v>115</v>
      </c>
      <c r="U15" s="139">
        <v>3221</v>
      </c>
      <c r="V15" s="139" t="s">
        <v>83</v>
      </c>
      <c r="X15" s="139" t="str">
        <f t="shared" si="6"/>
        <v>32</v>
      </c>
      <c r="Y15" s="139" t="str">
        <f t="shared" si="7"/>
        <v>322</v>
      </c>
      <c r="AA15" s="139" t="s">
        <v>1276</v>
      </c>
      <c r="AB15" s="139" t="s">
        <v>1277</v>
      </c>
    </row>
    <row r="16" spans="1:28">
      <c r="A16" s="149">
        <v>52</v>
      </c>
      <c r="B16" s="144" t="str">
        <f t="shared" si="1"/>
        <v>Ostale pomoći</v>
      </c>
      <c r="C16" s="149">
        <v>3681</v>
      </c>
      <c r="D16" s="144" t="str">
        <f t="shared" si="2"/>
        <v>Tekuće pomoći temeljem prijenosa EU sredstava</v>
      </c>
      <c r="E16" s="183" t="s">
        <v>2305</v>
      </c>
      <c r="F16" s="144" t="str">
        <f t="shared" si="3"/>
        <v>'Erasmus + 'Time to Become Digital in Law - DIGinLAW</v>
      </c>
      <c r="G16" s="182">
        <v>0</v>
      </c>
      <c r="H16" s="182">
        <v>291000</v>
      </c>
      <c r="I16" s="182">
        <v>0</v>
      </c>
      <c r="J16" s="198"/>
      <c r="K16" s="197"/>
      <c r="L16" s="197"/>
      <c r="M16" s="198"/>
      <c r="N16" s="198"/>
      <c r="P16" s="139" t="str">
        <f t="shared" si="4"/>
        <v>368</v>
      </c>
      <c r="Q16" s="139" t="str">
        <f t="shared" si="5"/>
        <v>36</v>
      </c>
      <c r="R16" s="139">
        <v>563</v>
      </c>
      <c r="S16" s="139" t="s">
        <v>117</v>
      </c>
      <c r="U16" s="139">
        <v>3222</v>
      </c>
      <c r="V16" s="139" t="s">
        <v>104</v>
      </c>
      <c r="X16" s="139" t="str">
        <f t="shared" si="6"/>
        <v>32</v>
      </c>
      <c r="Y16" s="139" t="str">
        <f t="shared" si="7"/>
        <v>322</v>
      </c>
      <c r="AA16" s="139" t="s">
        <v>1278</v>
      </c>
      <c r="AB16" s="139" t="s">
        <v>1279</v>
      </c>
    </row>
    <row r="17" spans="1:28">
      <c r="A17" s="149">
        <v>52</v>
      </c>
      <c r="B17" s="144" t="str">
        <f t="shared" si="1"/>
        <v>Ostale pomoći</v>
      </c>
      <c r="C17" s="149">
        <v>3693</v>
      </c>
      <c r="D17" s="144" t="str">
        <f t="shared" si="2"/>
        <v>Tekući prijenosi između proračunskih korisnika istog proraču</v>
      </c>
      <c r="E17" s="183" t="s">
        <v>2305</v>
      </c>
      <c r="F17" s="144" t="str">
        <f t="shared" si="3"/>
        <v>'Erasmus + 'Time to Become Digital in Law - DIGinLAW</v>
      </c>
      <c r="G17" s="182">
        <v>0</v>
      </c>
      <c r="H17" s="182">
        <v>42976</v>
      </c>
      <c r="I17" s="182">
        <v>0</v>
      </c>
      <c r="J17" s="198"/>
      <c r="K17" s="197"/>
      <c r="L17" s="197"/>
      <c r="M17" s="198"/>
      <c r="N17" s="198"/>
      <c r="P17" s="139" t="str">
        <f t="shared" si="4"/>
        <v>369</v>
      </c>
      <c r="Q17" s="139" t="str">
        <f t="shared" si="5"/>
        <v>36</v>
      </c>
      <c r="R17" s="139">
        <v>573</v>
      </c>
      <c r="S17" t="s">
        <v>1365</v>
      </c>
      <c r="U17" s="139">
        <v>3223</v>
      </c>
      <c r="V17" s="139" t="s">
        <v>92</v>
      </c>
      <c r="X17" s="139" t="str">
        <f t="shared" si="6"/>
        <v>32</v>
      </c>
      <c r="Y17" s="139" t="str">
        <f t="shared" si="7"/>
        <v>322</v>
      </c>
      <c r="AA17" s="139" t="s">
        <v>1280</v>
      </c>
      <c r="AB17" s="139" t="s">
        <v>1281</v>
      </c>
    </row>
    <row r="18" spans="1:28">
      <c r="A18" s="149"/>
      <c r="B18" s="144" t="str">
        <f t="shared" si="1"/>
        <v/>
      </c>
      <c r="C18" s="149"/>
      <c r="D18" s="144" t="str">
        <f t="shared" si="2"/>
        <v/>
      </c>
      <c r="E18" s="183"/>
      <c r="F18" s="144" t="str">
        <f t="shared" si="3"/>
        <v/>
      </c>
      <c r="G18" s="182"/>
      <c r="H18" s="182"/>
      <c r="I18" s="182"/>
      <c r="J18" s="198"/>
      <c r="K18" s="197"/>
      <c r="L18" s="197"/>
      <c r="M18" s="198"/>
      <c r="N18" s="198"/>
      <c r="P18" s="139" t="str">
        <f t="shared" si="4"/>
        <v/>
      </c>
      <c r="Q18" s="139" t="str">
        <f t="shared" si="5"/>
        <v/>
      </c>
      <c r="R18">
        <v>575</v>
      </c>
      <c r="S18" t="s">
        <v>1367</v>
      </c>
      <c r="U18" s="139">
        <v>3224</v>
      </c>
      <c r="V18" s="139" t="s">
        <v>97</v>
      </c>
      <c r="X18" s="139" t="str">
        <f t="shared" si="6"/>
        <v>32</v>
      </c>
      <c r="Y18" s="139" t="str">
        <f t="shared" si="7"/>
        <v>322</v>
      </c>
      <c r="AA18" s="139" t="s">
        <v>1282</v>
      </c>
      <c r="AB18" s="139" t="s">
        <v>1283</v>
      </c>
    </row>
    <row r="19" spans="1:28">
      <c r="A19" s="149"/>
      <c r="B19" s="144" t="str">
        <f t="shared" si="1"/>
        <v/>
      </c>
      <c r="C19" s="149"/>
      <c r="D19" s="144" t="str">
        <f t="shared" si="2"/>
        <v/>
      </c>
      <c r="E19" s="183"/>
      <c r="F19" s="144" t="str">
        <f t="shared" si="3"/>
        <v/>
      </c>
      <c r="G19" s="182"/>
      <c r="H19" s="182"/>
      <c r="I19" s="182"/>
      <c r="J19" s="198"/>
      <c r="K19" s="197"/>
      <c r="L19" s="197"/>
      <c r="M19" s="198"/>
      <c r="N19" s="198"/>
      <c r="P19" s="139" t="str">
        <f t="shared" si="4"/>
        <v/>
      </c>
      <c r="Q19" s="139" t="str">
        <f t="shared" si="5"/>
        <v/>
      </c>
      <c r="R19" s="203">
        <v>576</v>
      </c>
      <c r="S19" s="239" t="s">
        <v>1904</v>
      </c>
      <c r="U19" s="139">
        <v>3225</v>
      </c>
      <c r="V19" s="139" t="s">
        <v>105</v>
      </c>
      <c r="X19" s="139" t="str">
        <f t="shared" si="6"/>
        <v>32</v>
      </c>
      <c r="Y19" s="139" t="str">
        <f t="shared" si="7"/>
        <v>322</v>
      </c>
      <c r="AA19" s="139" t="s">
        <v>1284</v>
      </c>
      <c r="AB19" s="139" t="s">
        <v>997</v>
      </c>
    </row>
    <row r="20" spans="1:28">
      <c r="A20" s="149"/>
      <c r="B20" s="144" t="str">
        <f t="shared" si="1"/>
        <v/>
      </c>
      <c r="C20" s="149"/>
      <c r="D20" s="144" t="str">
        <f t="shared" si="2"/>
        <v/>
      </c>
      <c r="E20" s="183"/>
      <c r="F20" s="144" t="str">
        <f t="shared" si="3"/>
        <v/>
      </c>
      <c r="G20" s="182"/>
      <c r="H20" s="182"/>
      <c r="I20" s="182"/>
      <c r="J20" s="198"/>
      <c r="K20" s="197"/>
      <c r="L20" s="197"/>
      <c r="M20" s="198"/>
      <c r="N20" s="198"/>
      <c r="P20" s="139" t="str">
        <f t="shared" si="4"/>
        <v/>
      </c>
      <c r="Q20" s="139" t="str">
        <f t="shared" si="5"/>
        <v/>
      </c>
      <c r="R20" s="210">
        <v>581</v>
      </c>
      <c r="S20" s="211" t="s">
        <v>1988</v>
      </c>
      <c r="U20" s="139">
        <v>3226</v>
      </c>
      <c r="V20" s="139" t="s">
        <v>179</v>
      </c>
      <c r="X20" s="139" t="str">
        <f t="shared" si="6"/>
        <v>32</v>
      </c>
      <c r="Y20" s="139" t="str">
        <f t="shared" si="7"/>
        <v>322</v>
      </c>
      <c r="AA20" s="139" t="s">
        <v>1285</v>
      </c>
      <c r="AB20" s="139" t="s">
        <v>999</v>
      </c>
    </row>
    <row r="21" spans="1:28">
      <c r="A21" s="149"/>
      <c r="B21" s="144" t="str">
        <f t="shared" si="1"/>
        <v/>
      </c>
      <c r="C21" s="149"/>
      <c r="D21" s="144" t="str">
        <f t="shared" si="2"/>
        <v/>
      </c>
      <c r="E21" s="183"/>
      <c r="F21" s="144" t="str">
        <f t="shared" si="3"/>
        <v/>
      </c>
      <c r="G21" s="182"/>
      <c r="H21" s="182"/>
      <c r="I21" s="182"/>
      <c r="J21" s="198"/>
      <c r="K21" s="197"/>
      <c r="L21" s="197"/>
      <c r="M21" s="198"/>
      <c r="N21" s="198"/>
      <c r="P21" s="139" t="str">
        <f t="shared" si="4"/>
        <v/>
      </c>
      <c r="Q21" s="139" t="str">
        <f t="shared" si="5"/>
        <v/>
      </c>
      <c r="R21" s="139">
        <v>61</v>
      </c>
      <c r="S21" s="139" t="s">
        <v>119</v>
      </c>
      <c r="U21" s="139">
        <v>3227</v>
      </c>
      <c r="V21" s="139" t="s">
        <v>122</v>
      </c>
      <c r="X21" s="139" t="str">
        <f t="shared" si="6"/>
        <v>32</v>
      </c>
      <c r="Y21" s="139" t="str">
        <f t="shared" si="7"/>
        <v>322</v>
      </c>
      <c r="AA21" s="139" t="s">
        <v>1286</v>
      </c>
      <c r="AB21" s="139" t="s">
        <v>1001</v>
      </c>
    </row>
    <row r="22" spans="1:28">
      <c r="A22" s="149"/>
      <c r="B22" s="144" t="str">
        <f t="shared" si="1"/>
        <v/>
      </c>
      <c r="C22" s="149"/>
      <c r="D22" s="144" t="str">
        <f t="shared" si="2"/>
        <v/>
      </c>
      <c r="E22" s="183"/>
      <c r="F22" s="144" t="str">
        <f t="shared" si="3"/>
        <v/>
      </c>
      <c r="G22" s="182"/>
      <c r="H22" s="182"/>
      <c r="I22" s="182"/>
      <c r="J22" s="198"/>
      <c r="K22" s="197"/>
      <c r="L22" s="197"/>
      <c r="M22" s="198"/>
      <c r="N22" s="198"/>
      <c r="P22" s="139" t="str">
        <f t="shared" si="4"/>
        <v/>
      </c>
      <c r="Q22" s="139" t="str">
        <f t="shared" si="5"/>
        <v/>
      </c>
      <c r="R22" s="139">
        <v>71</v>
      </c>
      <c r="S22" s="139" t="s">
        <v>177</v>
      </c>
      <c r="U22" s="139">
        <v>3231</v>
      </c>
      <c r="V22" s="139" t="s">
        <v>106</v>
      </c>
      <c r="X22" s="139" t="str">
        <f t="shared" si="6"/>
        <v>32</v>
      </c>
      <c r="Y22" s="139" t="str">
        <f t="shared" si="7"/>
        <v>323</v>
      </c>
      <c r="AA22" s="139" t="s">
        <v>1287</v>
      </c>
      <c r="AB22" s="139" t="s">
        <v>1288</v>
      </c>
    </row>
    <row r="23" spans="1:28">
      <c r="A23" s="149"/>
      <c r="B23" s="144" t="str">
        <f t="shared" si="1"/>
        <v/>
      </c>
      <c r="C23" s="149"/>
      <c r="D23" s="144" t="str">
        <f t="shared" si="2"/>
        <v/>
      </c>
      <c r="E23" s="183"/>
      <c r="F23" s="144" t="str">
        <f t="shared" si="3"/>
        <v/>
      </c>
      <c r="G23" s="182"/>
      <c r="H23" s="182"/>
      <c r="I23" s="182"/>
      <c r="J23" s="198"/>
      <c r="K23" s="197"/>
      <c r="L23" s="197"/>
      <c r="M23" s="198"/>
      <c r="N23" s="198"/>
      <c r="P23" s="139" t="str">
        <f t="shared" si="4"/>
        <v/>
      </c>
      <c r="Q23" s="139" t="str">
        <f t="shared" si="5"/>
        <v/>
      </c>
      <c r="R23" s="139">
        <v>81</v>
      </c>
      <c r="S23" s="139" t="s">
        <v>60</v>
      </c>
      <c r="U23" s="139">
        <v>3232</v>
      </c>
      <c r="V23" s="139" t="s">
        <v>93</v>
      </c>
      <c r="X23" s="139" t="str">
        <f t="shared" si="6"/>
        <v>32</v>
      </c>
      <c r="Y23" s="139" t="str">
        <f t="shared" si="7"/>
        <v>323</v>
      </c>
      <c r="AA23" s="139" t="s">
        <v>1289</v>
      </c>
      <c r="AB23" s="139" t="s">
        <v>1290</v>
      </c>
    </row>
    <row r="24" spans="1:28">
      <c r="A24" s="149"/>
      <c r="B24" s="144" t="str">
        <f t="shared" si="1"/>
        <v/>
      </c>
      <c r="C24" s="149"/>
      <c r="D24" s="144" t="str">
        <f t="shared" si="2"/>
        <v/>
      </c>
      <c r="E24" s="183"/>
      <c r="F24" s="144" t="str">
        <f t="shared" si="3"/>
        <v/>
      </c>
      <c r="G24" s="182"/>
      <c r="H24" s="182"/>
      <c r="I24" s="182"/>
      <c r="J24" s="198"/>
      <c r="K24" s="197"/>
      <c r="L24" s="197"/>
      <c r="M24" s="198"/>
      <c r="N24" s="198"/>
      <c r="P24" s="139" t="str">
        <f t="shared" si="4"/>
        <v/>
      </c>
      <c r="Q24" s="139" t="str">
        <f t="shared" si="5"/>
        <v/>
      </c>
      <c r="R24" s="242">
        <v>83</v>
      </c>
      <c r="S24" s="242" t="s">
        <v>1356</v>
      </c>
      <c r="U24" s="139">
        <v>3233</v>
      </c>
      <c r="V24" s="139" t="s">
        <v>81</v>
      </c>
      <c r="X24" s="139" t="str">
        <f t="shared" si="6"/>
        <v>32</v>
      </c>
      <c r="Y24" s="139" t="str">
        <f t="shared" si="7"/>
        <v>323</v>
      </c>
      <c r="AA24" s="139" t="s">
        <v>1291</v>
      </c>
      <c r="AB24" s="139" t="s">
        <v>1292</v>
      </c>
    </row>
    <row r="25" spans="1:28">
      <c r="A25" s="149"/>
      <c r="B25" s="144" t="str">
        <f t="shared" si="1"/>
        <v/>
      </c>
      <c r="C25" s="149"/>
      <c r="D25" s="144" t="str">
        <f t="shared" si="2"/>
        <v/>
      </c>
      <c r="E25" s="183"/>
      <c r="F25" s="144" t="str">
        <f t="shared" si="3"/>
        <v/>
      </c>
      <c r="G25" s="182"/>
      <c r="H25" s="182"/>
      <c r="I25" s="182"/>
      <c r="J25" s="198"/>
      <c r="K25" s="197"/>
      <c r="L25" s="197"/>
      <c r="M25" s="198"/>
      <c r="N25" s="198"/>
      <c r="P25" s="139" t="str">
        <f t="shared" si="4"/>
        <v/>
      </c>
      <c r="Q25" s="139" t="str">
        <f t="shared" si="5"/>
        <v/>
      </c>
      <c r="U25" s="139">
        <v>3234</v>
      </c>
      <c r="V25" s="139" t="s">
        <v>94</v>
      </c>
      <c r="X25" s="139" t="str">
        <f t="shared" si="6"/>
        <v>32</v>
      </c>
      <c r="Y25" s="139" t="str">
        <f t="shared" si="7"/>
        <v>323</v>
      </c>
      <c r="AA25" s="139" t="s">
        <v>1293</v>
      </c>
      <c r="AB25" s="139" t="s">
        <v>1294</v>
      </c>
    </row>
    <row r="26" spans="1:28">
      <c r="A26" s="149"/>
      <c r="B26" s="144" t="str">
        <f t="shared" si="1"/>
        <v/>
      </c>
      <c r="C26" s="149"/>
      <c r="D26" s="144" t="str">
        <f t="shared" si="2"/>
        <v/>
      </c>
      <c r="E26" s="183"/>
      <c r="F26" s="144" t="str">
        <f t="shared" si="3"/>
        <v/>
      </c>
      <c r="G26" s="182"/>
      <c r="H26" s="182"/>
      <c r="I26" s="182"/>
      <c r="J26" s="198"/>
      <c r="K26" s="197"/>
      <c r="L26" s="197"/>
      <c r="M26" s="198"/>
      <c r="N26" s="198"/>
      <c r="P26" s="139" t="str">
        <f t="shared" si="4"/>
        <v/>
      </c>
      <c r="Q26" s="139" t="str">
        <f t="shared" si="5"/>
        <v/>
      </c>
      <c r="U26" s="139">
        <v>3235</v>
      </c>
      <c r="V26" s="139" t="s">
        <v>114</v>
      </c>
      <c r="X26" s="139" t="str">
        <f t="shared" si="6"/>
        <v>32</v>
      </c>
      <c r="Y26" s="139" t="str">
        <f t="shared" si="7"/>
        <v>323</v>
      </c>
      <c r="AA26" s="139" t="s">
        <v>1295</v>
      </c>
      <c r="AB26" s="139" t="s">
        <v>1296</v>
      </c>
    </row>
    <row r="27" spans="1:28">
      <c r="A27" s="149"/>
      <c r="B27" s="144" t="str">
        <f t="shared" si="1"/>
        <v/>
      </c>
      <c r="C27" s="149"/>
      <c r="D27" s="144" t="str">
        <f t="shared" si="2"/>
        <v/>
      </c>
      <c r="E27" s="183"/>
      <c r="F27" s="144" t="str">
        <f t="shared" si="3"/>
        <v/>
      </c>
      <c r="G27" s="182"/>
      <c r="H27" s="182"/>
      <c r="I27" s="182"/>
      <c r="J27" s="198"/>
      <c r="K27" s="197"/>
      <c r="L27" s="197"/>
      <c r="M27" s="198"/>
      <c r="N27" s="198"/>
      <c r="P27" s="139" t="str">
        <f t="shared" si="4"/>
        <v/>
      </c>
      <c r="Q27" s="139" t="str">
        <f t="shared" si="5"/>
        <v/>
      </c>
      <c r="U27" s="139">
        <v>3236</v>
      </c>
      <c r="V27" s="139" t="s">
        <v>57</v>
      </c>
      <c r="X27" s="139" t="str">
        <f t="shared" si="6"/>
        <v>32</v>
      </c>
      <c r="Y27" s="139" t="str">
        <f t="shared" si="7"/>
        <v>323</v>
      </c>
      <c r="AA27" s="139" t="s">
        <v>1297</v>
      </c>
      <c r="AB27" s="139" t="s">
        <v>1298</v>
      </c>
    </row>
    <row r="28" spans="1:28">
      <c r="A28" s="149"/>
      <c r="B28" s="144" t="str">
        <f t="shared" si="1"/>
        <v/>
      </c>
      <c r="C28" s="149"/>
      <c r="D28" s="144" t="str">
        <f t="shared" si="2"/>
        <v/>
      </c>
      <c r="E28" s="183"/>
      <c r="F28" s="144" t="str">
        <f t="shared" si="3"/>
        <v/>
      </c>
      <c r="G28" s="182"/>
      <c r="H28" s="182"/>
      <c r="I28" s="182"/>
      <c r="J28" s="198"/>
      <c r="K28" s="197"/>
      <c r="L28" s="197"/>
      <c r="M28" s="198"/>
      <c r="N28" s="198"/>
      <c r="P28" s="139" t="str">
        <f t="shared" si="4"/>
        <v/>
      </c>
      <c r="Q28" s="139" t="str">
        <f t="shared" si="5"/>
        <v/>
      </c>
      <c r="U28" s="139">
        <v>3237</v>
      </c>
      <c r="V28" s="139" t="s">
        <v>70</v>
      </c>
      <c r="X28" s="139" t="str">
        <f t="shared" si="6"/>
        <v>32</v>
      </c>
      <c r="Y28" s="139" t="str">
        <f t="shared" si="7"/>
        <v>323</v>
      </c>
      <c r="AA28" s="139" t="s">
        <v>1299</v>
      </c>
      <c r="AB28" s="139" t="s">
        <v>1300</v>
      </c>
    </row>
    <row r="29" spans="1:28">
      <c r="A29" s="149"/>
      <c r="B29" s="144" t="str">
        <f t="shared" si="1"/>
        <v/>
      </c>
      <c r="C29" s="149"/>
      <c r="D29" s="144" t="str">
        <f t="shared" si="2"/>
        <v/>
      </c>
      <c r="E29" s="183"/>
      <c r="F29" s="144" t="str">
        <f t="shared" si="3"/>
        <v/>
      </c>
      <c r="G29" s="182"/>
      <c r="H29" s="182"/>
      <c r="I29" s="182"/>
      <c r="J29" s="198"/>
      <c r="K29" s="197"/>
      <c r="L29" s="197"/>
      <c r="M29" s="198"/>
      <c r="N29" s="198"/>
      <c r="P29" s="139" t="str">
        <f t="shared" si="4"/>
        <v/>
      </c>
      <c r="Q29" s="139" t="str">
        <f t="shared" si="5"/>
        <v/>
      </c>
      <c r="U29" s="139">
        <v>3238</v>
      </c>
      <c r="V29" s="139" t="s">
        <v>107</v>
      </c>
      <c r="X29" s="139" t="str">
        <f t="shared" si="6"/>
        <v>32</v>
      </c>
      <c r="Y29" s="139" t="str">
        <f t="shared" si="7"/>
        <v>323</v>
      </c>
      <c r="AA29" s="139" t="s">
        <v>1301</v>
      </c>
      <c r="AB29" s="139" t="s">
        <v>1302</v>
      </c>
    </row>
    <row r="30" spans="1:28">
      <c r="A30" s="149"/>
      <c r="B30" s="144" t="str">
        <f t="shared" si="1"/>
        <v/>
      </c>
      <c r="C30" s="149"/>
      <c r="D30" s="144" t="str">
        <f t="shared" si="2"/>
        <v/>
      </c>
      <c r="E30" s="183"/>
      <c r="F30" s="144" t="str">
        <f t="shared" si="3"/>
        <v/>
      </c>
      <c r="G30" s="182"/>
      <c r="H30" s="182"/>
      <c r="I30" s="182"/>
      <c r="J30" s="198"/>
      <c r="K30" s="197"/>
      <c r="L30" s="197"/>
      <c r="M30" s="198"/>
      <c r="N30" s="198"/>
      <c r="P30" s="139" t="str">
        <f t="shared" si="4"/>
        <v/>
      </c>
      <c r="Q30" s="139" t="str">
        <f t="shared" si="5"/>
        <v/>
      </c>
      <c r="U30" s="139">
        <v>3239</v>
      </c>
      <c r="V30" s="139" t="s">
        <v>87</v>
      </c>
      <c r="X30" s="139" t="str">
        <f t="shared" si="6"/>
        <v>32</v>
      </c>
      <c r="Y30" s="139" t="str">
        <f t="shared" si="7"/>
        <v>323</v>
      </c>
      <c r="AA30" s="139" t="s">
        <v>1303</v>
      </c>
      <c r="AB30" s="139" t="s">
        <v>1304</v>
      </c>
    </row>
    <row r="31" spans="1:28">
      <c r="A31" s="149"/>
      <c r="B31" s="144" t="str">
        <f t="shared" si="1"/>
        <v/>
      </c>
      <c r="C31" s="149"/>
      <c r="D31" s="144" t="str">
        <f t="shared" si="2"/>
        <v/>
      </c>
      <c r="E31" s="183"/>
      <c r="F31" s="144" t="str">
        <f t="shared" si="3"/>
        <v/>
      </c>
      <c r="G31" s="182"/>
      <c r="H31" s="182"/>
      <c r="I31" s="182"/>
      <c r="J31" s="198"/>
      <c r="K31" s="197"/>
      <c r="L31" s="197"/>
      <c r="M31" s="198"/>
      <c r="N31" s="198"/>
      <c r="P31" s="139" t="str">
        <f t="shared" si="4"/>
        <v/>
      </c>
      <c r="Q31" s="139" t="str">
        <f t="shared" si="5"/>
        <v/>
      </c>
      <c r="U31" s="139">
        <v>3241</v>
      </c>
      <c r="V31" s="139" t="s">
        <v>84</v>
      </c>
      <c r="X31" s="139" t="str">
        <f t="shared" si="6"/>
        <v>32</v>
      </c>
      <c r="Y31" s="139" t="str">
        <f t="shared" si="7"/>
        <v>324</v>
      </c>
      <c r="AA31" s="139" t="s">
        <v>1305</v>
      </c>
      <c r="AB31" s="139" t="s">
        <v>1306</v>
      </c>
    </row>
    <row r="32" spans="1:28">
      <c r="A32" s="149"/>
      <c r="B32" s="144" t="str">
        <f t="shared" si="1"/>
        <v/>
      </c>
      <c r="C32" s="149"/>
      <c r="D32" s="144" t="str">
        <f t="shared" si="2"/>
        <v/>
      </c>
      <c r="E32" s="183"/>
      <c r="F32" s="144" t="str">
        <f t="shared" si="3"/>
        <v/>
      </c>
      <c r="G32" s="182"/>
      <c r="H32" s="182"/>
      <c r="I32" s="182"/>
      <c r="J32" s="198"/>
      <c r="K32" s="197"/>
      <c r="L32" s="197"/>
      <c r="M32" s="198"/>
      <c r="N32" s="198"/>
      <c r="P32" s="139" t="str">
        <f t="shared" si="4"/>
        <v/>
      </c>
      <c r="Q32" s="139" t="str">
        <f t="shared" si="5"/>
        <v/>
      </c>
      <c r="U32" s="139">
        <v>3291</v>
      </c>
      <c r="V32" s="139" t="s">
        <v>85</v>
      </c>
      <c r="X32" s="139" t="str">
        <f t="shared" si="6"/>
        <v>32</v>
      </c>
      <c r="Y32" s="139" t="str">
        <f t="shared" si="7"/>
        <v>329</v>
      </c>
      <c r="AA32" s="139" t="s">
        <v>1307</v>
      </c>
      <c r="AB32" s="139" t="s">
        <v>1308</v>
      </c>
    </row>
    <row r="33" spans="1:28">
      <c r="A33" s="149"/>
      <c r="B33" s="144" t="str">
        <f t="shared" si="1"/>
        <v/>
      </c>
      <c r="C33" s="149"/>
      <c r="D33" s="144" t="str">
        <f t="shared" si="2"/>
        <v/>
      </c>
      <c r="E33" s="183"/>
      <c r="F33" s="144" t="str">
        <f t="shared" si="3"/>
        <v/>
      </c>
      <c r="G33" s="182"/>
      <c r="H33" s="182"/>
      <c r="I33" s="182"/>
      <c r="J33" s="198"/>
      <c r="K33" s="197"/>
      <c r="L33" s="197"/>
      <c r="M33" s="198"/>
      <c r="N33" s="198"/>
      <c r="P33" s="139" t="str">
        <f t="shared" si="4"/>
        <v/>
      </c>
      <c r="Q33" s="139" t="str">
        <f t="shared" si="5"/>
        <v/>
      </c>
      <c r="U33" s="139">
        <v>3292</v>
      </c>
      <c r="V33" s="139" t="s">
        <v>78</v>
      </c>
      <c r="X33" s="139" t="str">
        <f t="shared" si="6"/>
        <v>32</v>
      </c>
      <c r="Y33" s="139" t="str">
        <f t="shared" si="7"/>
        <v>329</v>
      </c>
      <c r="AA33" s="139" t="s">
        <v>1309</v>
      </c>
      <c r="AB33" s="139" t="s">
        <v>1310</v>
      </c>
    </row>
    <row r="34" spans="1:28">
      <c r="A34" s="149"/>
      <c r="B34" s="144" t="str">
        <f t="shared" si="1"/>
        <v/>
      </c>
      <c r="C34" s="149"/>
      <c r="D34" s="144" t="str">
        <f t="shared" si="2"/>
        <v/>
      </c>
      <c r="E34" s="183"/>
      <c r="F34" s="144" t="str">
        <f t="shared" si="3"/>
        <v/>
      </c>
      <c r="G34" s="182"/>
      <c r="H34" s="182"/>
      <c r="I34" s="182"/>
      <c r="J34" s="198"/>
      <c r="K34" s="197"/>
      <c r="L34" s="197"/>
      <c r="M34" s="198"/>
      <c r="N34" s="198"/>
      <c r="P34" s="139" t="str">
        <f t="shared" si="4"/>
        <v/>
      </c>
      <c r="Q34" s="139" t="str">
        <f t="shared" si="5"/>
        <v/>
      </c>
      <c r="U34" s="139">
        <v>3293</v>
      </c>
      <c r="V34" s="139" t="s">
        <v>88</v>
      </c>
      <c r="X34" s="139" t="str">
        <f t="shared" si="6"/>
        <v>32</v>
      </c>
      <c r="Y34" s="139" t="str">
        <f t="shared" si="7"/>
        <v>329</v>
      </c>
      <c r="AA34" s="139" t="s">
        <v>1311</v>
      </c>
      <c r="AB34" s="139" t="s">
        <v>1312</v>
      </c>
    </row>
    <row r="35" spans="1:28">
      <c r="A35" s="149"/>
      <c r="B35" s="144" t="str">
        <f t="shared" si="1"/>
        <v/>
      </c>
      <c r="C35" s="149"/>
      <c r="D35" s="144" t="str">
        <f t="shared" si="2"/>
        <v/>
      </c>
      <c r="E35" s="183"/>
      <c r="F35" s="144" t="str">
        <f t="shared" si="3"/>
        <v/>
      </c>
      <c r="G35" s="182"/>
      <c r="H35" s="182"/>
      <c r="I35" s="182"/>
      <c r="J35" s="198"/>
      <c r="K35" s="197"/>
      <c r="L35" s="197"/>
      <c r="M35" s="198"/>
      <c r="N35" s="198"/>
      <c r="P35" s="139" t="str">
        <f t="shared" si="4"/>
        <v/>
      </c>
      <c r="Q35" s="139" t="str">
        <f t="shared" si="5"/>
        <v/>
      </c>
      <c r="U35" s="139">
        <v>3293</v>
      </c>
      <c r="V35" s="139" t="s">
        <v>135</v>
      </c>
      <c r="X35" s="139" t="str">
        <f t="shared" si="6"/>
        <v>32</v>
      </c>
      <c r="Y35" s="139" t="str">
        <f t="shared" si="7"/>
        <v>329</v>
      </c>
      <c r="AA35" s="139" t="s">
        <v>1398</v>
      </c>
      <c r="AB35" s="139" t="s">
        <v>1333</v>
      </c>
    </row>
    <row r="36" spans="1:28">
      <c r="A36" s="149"/>
      <c r="B36" s="144" t="str">
        <f t="shared" si="1"/>
        <v/>
      </c>
      <c r="C36" s="149"/>
      <c r="D36" s="144" t="str">
        <f t="shared" si="2"/>
        <v/>
      </c>
      <c r="E36" s="183"/>
      <c r="F36" s="144" t="str">
        <f t="shared" si="3"/>
        <v/>
      </c>
      <c r="G36" s="182"/>
      <c r="H36" s="182"/>
      <c r="I36" s="182"/>
      <c r="J36" s="198"/>
      <c r="K36" s="197"/>
      <c r="L36" s="197"/>
      <c r="M36" s="198"/>
      <c r="N36" s="198"/>
      <c r="P36" s="139" t="str">
        <f t="shared" si="4"/>
        <v/>
      </c>
      <c r="Q36" s="139" t="str">
        <f t="shared" si="5"/>
        <v/>
      </c>
      <c r="U36" s="139">
        <v>3294</v>
      </c>
      <c r="V36" s="139" t="s">
        <v>89</v>
      </c>
      <c r="X36" s="139" t="str">
        <f t="shared" si="6"/>
        <v>32</v>
      </c>
      <c r="Y36" s="139" t="str">
        <f t="shared" si="7"/>
        <v>329</v>
      </c>
      <c r="AA36" s="139" t="s">
        <v>2245</v>
      </c>
      <c r="AB36" s="139" t="s">
        <v>2246</v>
      </c>
    </row>
    <row r="37" spans="1:28">
      <c r="A37" s="149"/>
      <c r="B37" s="144" t="str">
        <f t="shared" si="1"/>
        <v/>
      </c>
      <c r="C37" s="149"/>
      <c r="D37" s="144" t="str">
        <f t="shared" si="2"/>
        <v/>
      </c>
      <c r="E37" s="183"/>
      <c r="F37" s="144" t="str">
        <f t="shared" si="3"/>
        <v/>
      </c>
      <c r="G37" s="182"/>
      <c r="H37" s="182"/>
      <c r="I37" s="182"/>
      <c r="J37" s="198"/>
      <c r="K37" s="197"/>
      <c r="L37" s="197"/>
      <c r="M37" s="198"/>
      <c r="N37" s="198"/>
      <c r="P37" s="139" t="str">
        <f t="shared" si="4"/>
        <v/>
      </c>
      <c r="Q37" s="139" t="str">
        <f t="shared" si="5"/>
        <v/>
      </c>
      <c r="U37" s="139">
        <v>3295</v>
      </c>
      <c r="V37" s="139" t="s">
        <v>58</v>
      </c>
      <c r="X37" s="139" t="str">
        <f t="shared" si="6"/>
        <v>32</v>
      </c>
      <c r="Y37" s="139" t="str">
        <f t="shared" si="7"/>
        <v>329</v>
      </c>
      <c r="AA37" s="139" t="s">
        <v>802</v>
      </c>
      <c r="AB37" s="139" t="s">
        <v>803</v>
      </c>
    </row>
    <row r="38" spans="1:28">
      <c r="A38" s="149"/>
      <c r="B38" s="144" t="str">
        <f t="shared" si="1"/>
        <v/>
      </c>
      <c r="C38" s="149"/>
      <c r="D38" s="144" t="str">
        <f t="shared" si="2"/>
        <v/>
      </c>
      <c r="E38" s="183"/>
      <c r="F38" s="144" t="str">
        <f t="shared" si="3"/>
        <v/>
      </c>
      <c r="G38" s="182"/>
      <c r="H38" s="182"/>
      <c r="I38" s="182"/>
      <c r="J38" s="198"/>
      <c r="K38" s="197"/>
      <c r="L38" s="197"/>
      <c r="M38" s="198"/>
      <c r="N38" s="198"/>
      <c r="P38" s="139" t="str">
        <f t="shared" si="4"/>
        <v/>
      </c>
      <c r="Q38" s="139" t="str">
        <f t="shared" si="5"/>
        <v/>
      </c>
      <c r="U38" s="139">
        <v>3296</v>
      </c>
      <c r="V38" s="139" t="s">
        <v>152</v>
      </c>
      <c r="X38" s="139" t="str">
        <f t="shared" si="6"/>
        <v>32</v>
      </c>
      <c r="Y38" s="139" t="str">
        <f t="shared" si="7"/>
        <v>329</v>
      </c>
      <c r="AA38" s="139" t="s">
        <v>804</v>
      </c>
      <c r="AB38" s="139" t="s">
        <v>805</v>
      </c>
    </row>
    <row r="39" spans="1:28">
      <c r="A39" s="149"/>
      <c r="B39" s="144" t="str">
        <f t="shared" si="1"/>
        <v/>
      </c>
      <c r="C39" s="149"/>
      <c r="D39" s="144" t="str">
        <f t="shared" si="2"/>
        <v/>
      </c>
      <c r="E39" s="183"/>
      <c r="F39" s="144" t="str">
        <f t="shared" si="3"/>
        <v/>
      </c>
      <c r="G39" s="182"/>
      <c r="H39" s="182"/>
      <c r="I39" s="182"/>
      <c r="J39" s="198"/>
      <c r="K39" s="197"/>
      <c r="L39" s="197"/>
      <c r="M39" s="198"/>
      <c r="N39" s="198"/>
      <c r="P39" s="139" t="str">
        <f t="shared" si="4"/>
        <v/>
      </c>
      <c r="Q39" s="139" t="str">
        <f t="shared" si="5"/>
        <v/>
      </c>
      <c r="U39" s="139">
        <v>3299</v>
      </c>
      <c r="V39" s="139" t="s">
        <v>61</v>
      </c>
      <c r="X39" s="139" t="str">
        <f t="shared" si="6"/>
        <v>32</v>
      </c>
      <c r="Y39" s="139" t="str">
        <f t="shared" si="7"/>
        <v>329</v>
      </c>
      <c r="AA39" s="139" t="s">
        <v>806</v>
      </c>
      <c r="AB39" s="139" t="s">
        <v>807</v>
      </c>
    </row>
    <row r="40" spans="1:28">
      <c r="A40" s="149"/>
      <c r="B40" s="144" t="str">
        <f t="shared" si="1"/>
        <v/>
      </c>
      <c r="C40" s="149"/>
      <c r="D40" s="144" t="str">
        <f t="shared" si="2"/>
        <v/>
      </c>
      <c r="E40" s="183"/>
      <c r="F40" s="144" t="str">
        <f t="shared" si="3"/>
        <v/>
      </c>
      <c r="G40" s="182"/>
      <c r="H40" s="182"/>
      <c r="I40" s="182"/>
      <c r="J40" s="198"/>
      <c r="K40" s="197"/>
      <c r="L40" s="197"/>
      <c r="M40" s="198"/>
      <c r="N40" s="198"/>
      <c r="P40" s="139" t="str">
        <f t="shared" si="4"/>
        <v/>
      </c>
      <c r="Q40" s="139" t="str">
        <f t="shared" si="5"/>
        <v/>
      </c>
      <c r="U40" s="139">
        <v>3411</v>
      </c>
      <c r="V40" s="139" t="s">
        <v>190</v>
      </c>
      <c r="X40" s="139" t="str">
        <f t="shared" si="6"/>
        <v>34</v>
      </c>
      <c r="Y40" s="139" t="str">
        <f t="shared" si="7"/>
        <v>341</v>
      </c>
      <c r="AA40" s="139" t="s">
        <v>808</v>
      </c>
      <c r="AB40" s="139" t="s">
        <v>809</v>
      </c>
    </row>
    <row r="41" spans="1:28">
      <c r="A41" s="149"/>
      <c r="B41" s="144" t="str">
        <f t="shared" si="1"/>
        <v/>
      </c>
      <c r="C41" s="149"/>
      <c r="D41" s="144" t="str">
        <f t="shared" si="2"/>
        <v/>
      </c>
      <c r="E41" s="183"/>
      <c r="F41" s="144" t="str">
        <f t="shared" si="3"/>
        <v/>
      </c>
      <c r="G41" s="182"/>
      <c r="H41" s="182"/>
      <c r="I41" s="182"/>
      <c r="J41" s="198"/>
      <c r="K41" s="197"/>
      <c r="L41" s="197"/>
      <c r="M41" s="198"/>
      <c r="N41" s="198"/>
      <c r="P41" s="139" t="str">
        <f t="shared" si="4"/>
        <v/>
      </c>
      <c r="Q41" s="139" t="str">
        <f t="shared" si="5"/>
        <v/>
      </c>
      <c r="U41" s="139">
        <v>3422</v>
      </c>
      <c r="V41" s="139" t="s">
        <v>153</v>
      </c>
      <c r="X41" s="139" t="str">
        <f t="shared" si="6"/>
        <v>34</v>
      </c>
      <c r="Y41" s="139" t="str">
        <f t="shared" si="7"/>
        <v>342</v>
      </c>
      <c r="AA41" s="139" t="s">
        <v>810</v>
      </c>
      <c r="AB41" s="139" t="s">
        <v>811</v>
      </c>
    </row>
    <row r="42" spans="1:28">
      <c r="A42" s="149"/>
      <c r="B42" s="144" t="str">
        <f t="shared" si="1"/>
        <v/>
      </c>
      <c r="C42" s="149"/>
      <c r="D42" s="144" t="str">
        <f t="shared" si="2"/>
        <v/>
      </c>
      <c r="E42" s="183"/>
      <c r="F42" s="144" t="str">
        <f t="shared" si="3"/>
        <v/>
      </c>
      <c r="G42" s="182"/>
      <c r="H42" s="182"/>
      <c r="I42" s="182"/>
      <c r="J42" s="198"/>
      <c r="K42" s="197"/>
      <c r="L42" s="197"/>
      <c r="M42" s="198"/>
      <c r="N42" s="198"/>
      <c r="P42" s="139" t="str">
        <f t="shared" si="4"/>
        <v/>
      </c>
      <c r="Q42" s="139" t="str">
        <f t="shared" si="5"/>
        <v/>
      </c>
      <c r="U42" s="139">
        <v>3423</v>
      </c>
      <c r="V42" s="139" t="s">
        <v>153</v>
      </c>
      <c r="X42" s="139" t="str">
        <f t="shared" si="6"/>
        <v>34</v>
      </c>
      <c r="Y42" s="139" t="str">
        <f t="shared" si="7"/>
        <v>342</v>
      </c>
      <c r="AA42" s="139" t="s">
        <v>812</v>
      </c>
      <c r="AB42" s="139" t="s">
        <v>813</v>
      </c>
    </row>
    <row r="43" spans="1:28">
      <c r="A43" s="149"/>
      <c r="B43" s="144" t="str">
        <f t="shared" si="1"/>
        <v/>
      </c>
      <c r="C43" s="149"/>
      <c r="D43" s="144" t="str">
        <f t="shared" si="2"/>
        <v/>
      </c>
      <c r="E43" s="183"/>
      <c r="F43" s="144" t="str">
        <f t="shared" si="3"/>
        <v/>
      </c>
      <c r="G43" s="182"/>
      <c r="H43" s="182"/>
      <c r="I43" s="182"/>
      <c r="J43" s="198"/>
      <c r="K43" s="197"/>
      <c r="L43" s="197"/>
      <c r="M43" s="198"/>
      <c r="N43" s="198"/>
      <c r="P43" s="139" t="str">
        <f t="shared" si="4"/>
        <v/>
      </c>
      <c r="Q43" s="139" t="str">
        <f t="shared" si="5"/>
        <v/>
      </c>
      <c r="U43" s="139">
        <v>3427</v>
      </c>
      <c r="V43" s="139" t="s">
        <v>192</v>
      </c>
      <c r="X43" s="139" t="str">
        <f t="shared" si="6"/>
        <v>34</v>
      </c>
      <c r="Y43" s="139" t="str">
        <f t="shared" si="7"/>
        <v>342</v>
      </c>
      <c r="AA43" s="139" t="s">
        <v>1399</v>
      </c>
      <c r="AB43" s="139" t="s">
        <v>1400</v>
      </c>
    </row>
    <row r="44" spans="1:28">
      <c r="A44" s="149"/>
      <c r="B44" s="144" t="str">
        <f t="shared" si="1"/>
        <v/>
      </c>
      <c r="C44" s="149"/>
      <c r="D44" s="144" t="str">
        <f t="shared" si="2"/>
        <v/>
      </c>
      <c r="E44" s="183"/>
      <c r="F44" s="144" t="str">
        <f t="shared" si="3"/>
        <v/>
      </c>
      <c r="G44" s="182"/>
      <c r="H44" s="182"/>
      <c r="I44" s="182"/>
      <c r="J44" s="198"/>
      <c r="K44" s="197"/>
      <c r="L44" s="197"/>
      <c r="M44" s="198"/>
      <c r="N44" s="198"/>
      <c r="P44" s="139" t="str">
        <f t="shared" si="4"/>
        <v/>
      </c>
      <c r="Q44" s="139" t="str">
        <f t="shared" si="5"/>
        <v/>
      </c>
      <c r="U44" s="139">
        <v>3431</v>
      </c>
      <c r="V44" s="139" t="s">
        <v>86</v>
      </c>
      <c r="X44" s="139" t="str">
        <f t="shared" si="6"/>
        <v>34</v>
      </c>
      <c r="Y44" s="139" t="str">
        <f t="shared" si="7"/>
        <v>343</v>
      </c>
      <c r="AA44" s="139" t="s">
        <v>1401</v>
      </c>
      <c r="AB44" s="139" t="s">
        <v>1402</v>
      </c>
    </row>
    <row r="45" spans="1:28">
      <c r="A45" s="149"/>
      <c r="B45" s="144" t="str">
        <f t="shared" si="1"/>
        <v/>
      </c>
      <c r="C45" s="149"/>
      <c r="D45" s="144" t="str">
        <f t="shared" si="2"/>
        <v/>
      </c>
      <c r="E45" s="183"/>
      <c r="F45" s="144" t="str">
        <f t="shared" si="3"/>
        <v/>
      </c>
      <c r="G45" s="182"/>
      <c r="H45" s="182"/>
      <c r="I45" s="182"/>
      <c r="J45" s="198"/>
      <c r="K45" s="197"/>
      <c r="L45" s="197"/>
      <c r="M45" s="198"/>
      <c r="N45" s="198"/>
      <c r="P45" s="139" t="str">
        <f t="shared" si="4"/>
        <v/>
      </c>
      <c r="Q45" s="139" t="str">
        <f t="shared" si="5"/>
        <v/>
      </c>
      <c r="U45" s="139">
        <v>3432</v>
      </c>
      <c r="V45" s="139" t="s">
        <v>102</v>
      </c>
      <c r="X45" s="139" t="str">
        <f t="shared" si="6"/>
        <v>34</v>
      </c>
      <c r="Y45" s="139" t="str">
        <f t="shared" si="7"/>
        <v>343</v>
      </c>
      <c r="AA45" s="139" t="s">
        <v>1403</v>
      </c>
      <c r="AB45" s="139" t="s">
        <v>1404</v>
      </c>
    </row>
    <row r="46" spans="1:28">
      <c r="A46" s="149"/>
      <c r="B46" s="144" t="str">
        <f t="shared" si="1"/>
        <v/>
      </c>
      <c r="C46" s="149"/>
      <c r="D46" s="144" t="str">
        <f t="shared" si="2"/>
        <v/>
      </c>
      <c r="E46" s="183"/>
      <c r="F46" s="144" t="str">
        <f t="shared" si="3"/>
        <v/>
      </c>
      <c r="G46" s="182"/>
      <c r="H46" s="182"/>
      <c r="I46" s="182"/>
      <c r="J46" s="198"/>
      <c r="K46" s="197"/>
      <c r="L46" s="197"/>
      <c r="M46" s="198"/>
      <c r="N46" s="198"/>
      <c r="P46" s="139" t="str">
        <f t="shared" si="4"/>
        <v/>
      </c>
      <c r="Q46" s="139" t="str">
        <f t="shared" si="5"/>
        <v/>
      </c>
      <c r="U46" s="139">
        <v>3433</v>
      </c>
      <c r="V46" s="139" t="s">
        <v>140</v>
      </c>
      <c r="X46" s="139" t="str">
        <f t="shared" si="6"/>
        <v>34</v>
      </c>
      <c r="Y46" s="139" t="str">
        <f t="shared" si="7"/>
        <v>343</v>
      </c>
      <c r="AA46" s="139" t="s">
        <v>1405</v>
      </c>
      <c r="AB46" s="139" t="s">
        <v>1406</v>
      </c>
    </row>
    <row r="47" spans="1:28">
      <c r="A47" s="149"/>
      <c r="B47" s="144" t="str">
        <f t="shared" si="1"/>
        <v/>
      </c>
      <c r="C47" s="149"/>
      <c r="D47" s="144" t="str">
        <f t="shared" si="2"/>
        <v/>
      </c>
      <c r="E47" s="183"/>
      <c r="F47" s="144" t="str">
        <f t="shared" si="3"/>
        <v/>
      </c>
      <c r="G47" s="182"/>
      <c r="H47" s="182"/>
      <c r="I47" s="182"/>
      <c r="J47" s="198"/>
      <c r="K47" s="197"/>
      <c r="L47" s="197"/>
      <c r="M47" s="198"/>
      <c r="N47" s="198"/>
      <c r="P47" s="139" t="str">
        <f t="shared" si="4"/>
        <v/>
      </c>
      <c r="Q47" s="139" t="str">
        <f t="shared" si="5"/>
        <v/>
      </c>
      <c r="U47" s="139">
        <v>3434</v>
      </c>
      <c r="V47" s="139" t="s">
        <v>71</v>
      </c>
      <c r="X47" s="139" t="str">
        <f t="shared" si="6"/>
        <v>34</v>
      </c>
      <c r="Y47" s="139" t="str">
        <f t="shared" si="7"/>
        <v>343</v>
      </c>
      <c r="AA47" s="139" t="s">
        <v>1407</v>
      </c>
      <c r="AB47" s="139" t="s">
        <v>1408</v>
      </c>
    </row>
    <row r="48" spans="1:28">
      <c r="A48" s="149"/>
      <c r="B48" s="144" t="str">
        <f t="shared" si="1"/>
        <v/>
      </c>
      <c r="C48" s="149"/>
      <c r="D48" s="144" t="str">
        <f t="shared" si="2"/>
        <v/>
      </c>
      <c r="E48" s="183"/>
      <c r="F48" s="144" t="str">
        <f t="shared" si="3"/>
        <v/>
      </c>
      <c r="G48" s="182"/>
      <c r="H48" s="182"/>
      <c r="I48" s="182"/>
      <c r="J48" s="198"/>
      <c r="K48" s="197"/>
      <c r="L48" s="197"/>
      <c r="M48" s="198"/>
      <c r="N48" s="198"/>
      <c r="P48" s="139" t="str">
        <f t="shared" si="4"/>
        <v/>
      </c>
      <c r="Q48" s="139" t="str">
        <f t="shared" si="5"/>
        <v/>
      </c>
      <c r="U48" s="139">
        <v>3511</v>
      </c>
      <c r="V48" s="139" t="s">
        <v>183</v>
      </c>
      <c r="X48" s="139" t="str">
        <f t="shared" si="6"/>
        <v>35</v>
      </c>
      <c r="Y48" s="139" t="str">
        <f t="shared" si="7"/>
        <v>351</v>
      </c>
      <c r="AA48" s="139" t="s">
        <v>1409</v>
      </c>
      <c r="AB48" s="139" t="s">
        <v>1410</v>
      </c>
    </row>
    <row r="49" spans="1:28">
      <c r="A49" s="149"/>
      <c r="B49" s="144" t="str">
        <f t="shared" si="1"/>
        <v/>
      </c>
      <c r="C49" s="149"/>
      <c r="D49" s="144" t="str">
        <f t="shared" si="2"/>
        <v/>
      </c>
      <c r="E49" s="183"/>
      <c r="F49" s="144" t="str">
        <f t="shared" si="3"/>
        <v/>
      </c>
      <c r="G49" s="182"/>
      <c r="H49" s="182"/>
      <c r="I49" s="182"/>
      <c r="J49" s="198"/>
      <c r="K49" s="197"/>
      <c r="L49" s="197"/>
      <c r="M49" s="198"/>
      <c r="N49" s="198"/>
      <c r="P49" s="139" t="str">
        <f t="shared" si="4"/>
        <v/>
      </c>
      <c r="Q49" s="139" t="str">
        <f t="shared" si="5"/>
        <v/>
      </c>
      <c r="U49" s="139">
        <v>3512</v>
      </c>
      <c r="V49" s="139" t="s">
        <v>185</v>
      </c>
      <c r="X49" s="139" t="str">
        <f t="shared" si="6"/>
        <v>35</v>
      </c>
      <c r="Y49" s="139" t="str">
        <f t="shared" si="7"/>
        <v>351</v>
      </c>
      <c r="AA49" s="139" t="s">
        <v>1411</v>
      </c>
      <c r="AB49" s="139" t="s">
        <v>1412</v>
      </c>
    </row>
    <row r="50" spans="1:28">
      <c r="A50" s="149"/>
      <c r="B50" s="144" t="str">
        <f t="shared" si="1"/>
        <v/>
      </c>
      <c r="C50" s="149"/>
      <c r="D50" s="144" t="str">
        <f t="shared" si="2"/>
        <v/>
      </c>
      <c r="E50" s="183"/>
      <c r="F50" s="144" t="str">
        <f t="shared" si="3"/>
        <v/>
      </c>
      <c r="G50" s="182"/>
      <c r="H50" s="182"/>
      <c r="I50" s="182"/>
      <c r="J50" s="198"/>
      <c r="K50" s="197"/>
      <c r="L50" s="197"/>
      <c r="M50" s="198"/>
      <c r="N50" s="198"/>
      <c r="P50" s="139" t="str">
        <f t="shared" si="4"/>
        <v/>
      </c>
      <c r="Q50" s="139" t="str">
        <f t="shared" si="5"/>
        <v/>
      </c>
      <c r="U50" s="139">
        <v>3522</v>
      </c>
      <c r="V50" s="139" t="s">
        <v>259</v>
      </c>
      <c r="X50" s="139" t="str">
        <f t="shared" si="6"/>
        <v>35</v>
      </c>
      <c r="Y50" s="139" t="str">
        <f t="shared" si="7"/>
        <v>352</v>
      </c>
      <c r="AA50" s="139" t="s">
        <v>1413</v>
      </c>
      <c r="AB50" s="139" t="s">
        <v>1414</v>
      </c>
    </row>
    <row r="51" spans="1:28">
      <c r="A51" s="149"/>
      <c r="B51" s="144" t="str">
        <f t="shared" si="1"/>
        <v/>
      </c>
      <c r="C51" s="149"/>
      <c r="D51" s="144" t="str">
        <f t="shared" si="2"/>
        <v/>
      </c>
      <c r="E51" s="183"/>
      <c r="F51" s="144" t="str">
        <f t="shared" si="3"/>
        <v/>
      </c>
      <c r="G51" s="182"/>
      <c r="H51" s="182"/>
      <c r="I51" s="182"/>
      <c r="J51" s="198"/>
      <c r="K51" s="197"/>
      <c r="L51" s="197"/>
      <c r="M51" s="198"/>
      <c r="N51" s="198"/>
      <c r="P51" s="139" t="str">
        <f t="shared" si="4"/>
        <v/>
      </c>
      <c r="Q51" s="139" t="str">
        <f t="shared" si="5"/>
        <v/>
      </c>
      <c r="U51" s="139">
        <v>3531</v>
      </c>
      <c r="V51" s="139" t="s">
        <v>137</v>
      </c>
      <c r="X51" s="139" t="str">
        <f t="shared" si="6"/>
        <v>35</v>
      </c>
      <c r="Y51" s="139" t="str">
        <f t="shared" si="7"/>
        <v>353</v>
      </c>
      <c r="AA51" s="139" t="s">
        <v>1415</v>
      </c>
      <c r="AB51" s="139" t="s">
        <v>1416</v>
      </c>
    </row>
    <row r="52" spans="1:28">
      <c r="A52" s="149"/>
      <c r="B52" s="144" t="str">
        <f t="shared" si="1"/>
        <v/>
      </c>
      <c r="C52" s="149"/>
      <c r="D52" s="144" t="str">
        <f t="shared" si="2"/>
        <v/>
      </c>
      <c r="E52" s="183"/>
      <c r="F52" s="144" t="str">
        <f t="shared" si="3"/>
        <v/>
      </c>
      <c r="G52" s="182"/>
      <c r="H52" s="182"/>
      <c r="I52" s="182"/>
      <c r="J52" s="198"/>
      <c r="K52" s="197"/>
      <c r="L52" s="197"/>
      <c r="M52" s="198"/>
      <c r="N52" s="198"/>
      <c r="P52" s="139" t="str">
        <f t="shared" si="4"/>
        <v/>
      </c>
      <c r="Q52" s="139" t="str">
        <f t="shared" si="5"/>
        <v/>
      </c>
      <c r="U52" s="139">
        <v>3611</v>
      </c>
      <c r="V52" s="139" t="s">
        <v>91</v>
      </c>
      <c r="X52" s="139" t="str">
        <f t="shared" si="6"/>
        <v>36</v>
      </c>
      <c r="Y52" s="139" t="str">
        <f t="shared" si="7"/>
        <v>361</v>
      </c>
      <c r="AA52" s="139" t="s">
        <v>1417</v>
      </c>
      <c r="AB52" s="139" t="s">
        <v>1418</v>
      </c>
    </row>
    <row r="53" spans="1:28">
      <c r="A53" s="149"/>
      <c r="B53" s="144" t="str">
        <f t="shared" si="1"/>
        <v/>
      </c>
      <c r="C53" s="149"/>
      <c r="D53" s="144" t="str">
        <f t="shared" si="2"/>
        <v/>
      </c>
      <c r="E53" s="183"/>
      <c r="F53" s="144" t="str">
        <f t="shared" si="3"/>
        <v/>
      </c>
      <c r="G53" s="182"/>
      <c r="H53" s="182"/>
      <c r="I53" s="182"/>
      <c r="J53" s="198"/>
      <c r="K53" s="197"/>
      <c r="L53" s="197"/>
      <c r="M53" s="198"/>
      <c r="N53" s="198"/>
      <c r="P53" s="139" t="str">
        <f t="shared" si="4"/>
        <v/>
      </c>
      <c r="Q53" s="139" t="str">
        <f t="shared" si="5"/>
        <v/>
      </c>
      <c r="U53" s="139">
        <v>3621</v>
      </c>
      <c r="V53" s="139" t="s">
        <v>141</v>
      </c>
      <c r="X53" s="139" t="str">
        <f t="shared" si="6"/>
        <v>36</v>
      </c>
      <c r="Y53" s="139" t="str">
        <f t="shared" si="7"/>
        <v>362</v>
      </c>
      <c r="AA53" s="139" t="s">
        <v>1419</v>
      </c>
      <c r="AB53" s="139" t="s">
        <v>1420</v>
      </c>
    </row>
    <row r="54" spans="1:28">
      <c r="A54" s="149"/>
      <c r="B54" s="144" t="str">
        <f t="shared" si="1"/>
        <v/>
      </c>
      <c r="C54" s="149"/>
      <c r="D54" s="144" t="str">
        <f t="shared" si="2"/>
        <v/>
      </c>
      <c r="E54" s="183"/>
      <c r="F54" s="144" t="str">
        <f t="shared" si="3"/>
        <v/>
      </c>
      <c r="G54" s="182"/>
      <c r="H54" s="182"/>
      <c r="I54" s="182"/>
      <c r="J54" s="198"/>
      <c r="K54" s="197"/>
      <c r="L54" s="197"/>
      <c r="M54" s="198"/>
      <c r="N54" s="198"/>
      <c r="P54" s="139" t="str">
        <f t="shared" si="4"/>
        <v/>
      </c>
      <c r="Q54" s="139" t="str">
        <f t="shared" si="5"/>
        <v/>
      </c>
      <c r="U54" s="139">
        <v>3631</v>
      </c>
      <c r="V54" s="139" t="s">
        <v>182</v>
      </c>
      <c r="X54" s="139" t="str">
        <f t="shared" si="6"/>
        <v>36</v>
      </c>
      <c r="Y54" s="139" t="str">
        <f t="shared" si="7"/>
        <v>363</v>
      </c>
      <c r="AA54" s="139" t="s">
        <v>1421</v>
      </c>
      <c r="AB54" s="139" t="s">
        <v>1422</v>
      </c>
    </row>
    <row r="55" spans="1:28">
      <c r="A55" s="149"/>
      <c r="B55" s="144" t="str">
        <f t="shared" si="1"/>
        <v/>
      </c>
      <c r="C55" s="149"/>
      <c r="D55" s="144" t="str">
        <f t="shared" si="2"/>
        <v/>
      </c>
      <c r="E55" s="183"/>
      <c r="F55" s="144" t="str">
        <f t="shared" si="3"/>
        <v/>
      </c>
      <c r="G55" s="182"/>
      <c r="H55" s="182"/>
      <c r="I55" s="182"/>
      <c r="J55" s="198"/>
      <c r="K55" s="197"/>
      <c r="L55" s="197"/>
      <c r="M55" s="198"/>
      <c r="N55" s="198"/>
      <c r="P55" s="139" t="str">
        <f t="shared" si="4"/>
        <v/>
      </c>
      <c r="Q55" s="139" t="str">
        <f t="shared" si="5"/>
        <v/>
      </c>
      <c r="U55" s="139">
        <v>3632</v>
      </c>
      <c r="V55" s="139" t="s">
        <v>260</v>
      </c>
      <c r="X55" s="139" t="str">
        <f t="shared" si="6"/>
        <v>36</v>
      </c>
      <c r="Y55" s="139" t="str">
        <f t="shared" si="7"/>
        <v>363</v>
      </c>
      <c r="AA55" s="139" t="s">
        <v>1423</v>
      </c>
      <c r="AB55" s="139" t="s">
        <v>1424</v>
      </c>
    </row>
    <row r="56" spans="1:28">
      <c r="A56" s="149"/>
      <c r="B56" s="144" t="str">
        <f t="shared" si="1"/>
        <v/>
      </c>
      <c r="C56" s="149"/>
      <c r="D56" s="144" t="str">
        <f t="shared" si="2"/>
        <v/>
      </c>
      <c r="E56" s="183"/>
      <c r="F56" s="144" t="str">
        <f t="shared" si="3"/>
        <v/>
      </c>
      <c r="G56" s="182"/>
      <c r="H56" s="182"/>
      <c r="I56" s="182"/>
      <c r="J56" s="198"/>
      <c r="K56" s="197"/>
      <c r="L56" s="197"/>
      <c r="M56" s="198"/>
      <c r="N56" s="198"/>
      <c r="P56" s="139" t="str">
        <f t="shared" si="4"/>
        <v/>
      </c>
      <c r="Q56" s="139" t="str">
        <f t="shared" si="5"/>
        <v/>
      </c>
      <c r="U56" s="139">
        <v>3661</v>
      </c>
      <c r="V56" s="139" t="s">
        <v>103</v>
      </c>
      <c r="X56" s="139" t="str">
        <f t="shared" si="6"/>
        <v>36</v>
      </c>
      <c r="Y56" s="139" t="str">
        <f t="shared" si="7"/>
        <v>366</v>
      </c>
      <c r="AA56" s="139" t="s">
        <v>1425</v>
      </c>
      <c r="AB56" s="139" t="s">
        <v>1426</v>
      </c>
    </row>
    <row r="57" spans="1:28">
      <c r="A57" s="149"/>
      <c r="B57" s="144" t="str">
        <f t="shared" si="1"/>
        <v/>
      </c>
      <c r="C57" s="149"/>
      <c r="D57" s="144" t="str">
        <f t="shared" si="2"/>
        <v/>
      </c>
      <c r="E57" s="183"/>
      <c r="F57" s="144" t="str">
        <f t="shared" si="3"/>
        <v/>
      </c>
      <c r="G57" s="182"/>
      <c r="H57" s="182"/>
      <c r="I57" s="182"/>
      <c r="J57" s="198"/>
      <c r="K57" s="197"/>
      <c r="L57" s="197"/>
      <c r="M57" s="198"/>
      <c r="N57" s="198"/>
      <c r="P57" s="139" t="str">
        <f t="shared" si="4"/>
        <v/>
      </c>
      <c r="Q57" s="139" t="str">
        <f t="shared" si="5"/>
        <v/>
      </c>
      <c r="U57" s="139">
        <v>3662</v>
      </c>
      <c r="V57" s="139" t="s">
        <v>186</v>
      </c>
      <c r="X57" s="139" t="str">
        <f t="shared" si="6"/>
        <v>36</v>
      </c>
      <c r="Y57" s="139" t="str">
        <f t="shared" si="7"/>
        <v>366</v>
      </c>
      <c r="AA57" s="139" t="s">
        <v>2247</v>
      </c>
      <c r="AB57" s="139" t="s">
        <v>2248</v>
      </c>
    </row>
    <row r="58" spans="1:28">
      <c r="A58" s="149"/>
      <c r="B58" s="144" t="str">
        <f t="shared" si="1"/>
        <v/>
      </c>
      <c r="C58" s="149"/>
      <c r="D58" s="144" t="str">
        <f t="shared" si="2"/>
        <v/>
      </c>
      <c r="E58" s="183"/>
      <c r="F58" s="144" t="str">
        <f t="shared" si="3"/>
        <v/>
      </c>
      <c r="G58" s="182"/>
      <c r="H58" s="182"/>
      <c r="I58" s="182"/>
      <c r="J58" s="198"/>
      <c r="K58" s="197"/>
      <c r="L58" s="197"/>
      <c r="M58" s="198"/>
      <c r="N58" s="198"/>
      <c r="P58" s="139" t="str">
        <f t="shared" si="4"/>
        <v/>
      </c>
      <c r="Q58" s="139" t="str">
        <f t="shared" si="5"/>
        <v/>
      </c>
      <c r="U58" s="139">
        <v>3681</v>
      </c>
      <c r="V58" s="139" t="s">
        <v>29</v>
      </c>
      <c r="X58" s="139" t="str">
        <f t="shared" si="6"/>
        <v>36</v>
      </c>
      <c r="Y58" s="139" t="str">
        <f t="shared" si="7"/>
        <v>368</v>
      </c>
      <c r="AA58" s="139" t="s">
        <v>2249</v>
      </c>
      <c r="AB58" s="139" t="s">
        <v>2250</v>
      </c>
    </row>
    <row r="59" spans="1:28">
      <c r="A59" s="149"/>
      <c r="B59" s="144" t="str">
        <f t="shared" si="1"/>
        <v/>
      </c>
      <c r="C59" s="149"/>
      <c r="D59" s="144" t="str">
        <f t="shared" si="2"/>
        <v/>
      </c>
      <c r="E59" s="183"/>
      <c r="F59" s="144" t="str">
        <f t="shared" si="3"/>
        <v/>
      </c>
      <c r="G59" s="182"/>
      <c r="H59" s="182"/>
      <c r="I59" s="182"/>
      <c r="J59" s="198"/>
      <c r="K59" s="197"/>
      <c r="L59" s="197"/>
      <c r="M59" s="198"/>
      <c r="N59" s="198"/>
      <c r="P59" s="139" t="str">
        <f t="shared" si="4"/>
        <v/>
      </c>
      <c r="Q59" s="139" t="str">
        <f t="shared" si="5"/>
        <v/>
      </c>
      <c r="U59" s="139">
        <v>3682</v>
      </c>
      <c r="V59" s="139" t="s">
        <v>30</v>
      </c>
      <c r="X59" s="139" t="str">
        <f t="shared" si="6"/>
        <v>36</v>
      </c>
      <c r="Y59" s="139" t="str">
        <f t="shared" si="7"/>
        <v>368</v>
      </c>
      <c r="AA59" s="139" t="s">
        <v>2251</v>
      </c>
      <c r="AB59" s="139" t="s">
        <v>2252</v>
      </c>
    </row>
    <row r="60" spans="1:28">
      <c r="A60" s="149"/>
      <c r="B60" s="144" t="str">
        <f t="shared" si="1"/>
        <v/>
      </c>
      <c r="C60" s="149"/>
      <c r="D60" s="144" t="str">
        <f t="shared" si="2"/>
        <v/>
      </c>
      <c r="E60" s="183"/>
      <c r="F60" s="144" t="str">
        <f t="shared" si="3"/>
        <v/>
      </c>
      <c r="G60" s="182"/>
      <c r="H60" s="182"/>
      <c r="I60" s="182"/>
      <c r="J60" s="198"/>
      <c r="K60" s="197"/>
      <c r="L60" s="197"/>
      <c r="M60" s="198"/>
      <c r="N60" s="198"/>
      <c r="P60" s="139" t="str">
        <f t="shared" si="4"/>
        <v/>
      </c>
      <c r="Q60" s="139" t="str">
        <f t="shared" si="5"/>
        <v/>
      </c>
      <c r="U60" s="139">
        <v>3691</v>
      </c>
      <c r="V60" s="139" t="s">
        <v>108</v>
      </c>
      <c r="X60" s="139" t="str">
        <f t="shared" si="6"/>
        <v>36</v>
      </c>
      <c r="Y60" s="139" t="str">
        <f t="shared" si="7"/>
        <v>369</v>
      </c>
      <c r="AA60" s="139" t="s">
        <v>2253</v>
      </c>
      <c r="AB60" s="139" t="s">
        <v>2254</v>
      </c>
    </row>
    <row r="61" spans="1:28">
      <c r="A61" s="149"/>
      <c r="B61" s="144" t="str">
        <f t="shared" si="1"/>
        <v/>
      </c>
      <c r="C61" s="149"/>
      <c r="D61" s="144" t="str">
        <f t="shared" si="2"/>
        <v/>
      </c>
      <c r="E61" s="183"/>
      <c r="F61" s="144" t="str">
        <f t="shared" si="3"/>
        <v/>
      </c>
      <c r="G61" s="182"/>
      <c r="H61" s="182"/>
      <c r="I61" s="182"/>
      <c r="J61" s="198"/>
      <c r="K61" s="197"/>
      <c r="L61" s="197"/>
      <c r="M61" s="198"/>
      <c r="N61" s="198"/>
      <c r="P61" s="139" t="str">
        <f t="shared" si="4"/>
        <v/>
      </c>
      <c r="Q61" s="139" t="str">
        <f t="shared" si="5"/>
        <v/>
      </c>
      <c r="U61" s="139">
        <v>3692</v>
      </c>
      <c r="V61" s="139" t="s">
        <v>180</v>
      </c>
      <c r="X61" s="139" t="str">
        <f t="shared" si="6"/>
        <v>36</v>
      </c>
      <c r="Y61" s="139" t="str">
        <f t="shared" si="7"/>
        <v>369</v>
      </c>
      <c r="AA61" s="139" t="s">
        <v>2255</v>
      </c>
      <c r="AB61" s="139" t="s">
        <v>2256</v>
      </c>
    </row>
    <row r="62" spans="1:28">
      <c r="A62" s="149"/>
      <c r="B62" s="144" t="str">
        <f t="shared" si="1"/>
        <v/>
      </c>
      <c r="C62" s="149"/>
      <c r="D62" s="144" t="str">
        <f t="shared" si="2"/>
        <v/>
      </c>
      <c r="E62" s="183"/>
      <c r="F62" s="144" t="str">
        <f t="shared" si="3"/>
        <v/>
      </c>
      <c r="G62" s="182"/>
      <c r="H62" s="182"/>
      <c r="I62" s="182"/>
      <c r="J62" s="198"/>
      <c r="K62" s="197"/>
      <c r="L62" s="197"/>
      <c r="M62" s="198"/>
      <c r="N62" s="198"/>
      <c r="P62" s="139" t="str">
        <f t="shared" si="4"/>
        <v/>
      </c>
      <c r="Q62" s="139" t="str">
        <f t="shared" si="5"/>
        <v/>
      </c>
      <c r="U62" s="139">
        <v>3693</v>
      </c>
      <c r="V62" s="139" t="s">
        <v>108</v>
      </c>
      <c r="X62" s="139" t="str">
        <f t="shared" si="6"/>
        <v>36</v>
      </c>
      <c r="Y62" s="139" t="str">
        <f t="shared" si="7"/>
        <v>369</v>
      </c>
      <c r="AA62" s="139" t="s">
        <v>2257</v>
      </c>
      <c r="AB62" s="139" t="s">
        <v>2258</v>
      </c>
    </row>
    <row r="63" spans="1:28">
      <c r="A63" s="149"/>
      <c r="B63" s="144" t="str">
        <f t="shared" si="1"/>
        <v/>
      </c>
      <c r="C63" s="149"/>
      <c r="D63" s="144" t="str">
        <f t="shared" si="2"/>
        <v/>
      </c>
      <c r="E63" s="183"/>
      <c r="F63" s="144" t="str">
        <f t="shared" si="3"/>
        <v/>
      </c>
      <c r="G63" s="182"/>
      <c r="H63" s="182"/>
      <c r="I63" s="182"/>
      <c r="J63" s="198"/>
      <c r="K63" s="197"/>
      <c r="L63" s="197"/>
      <c r="M63" s="198"/>
      <c r="N63" s="198"/>
      <c r="P63" s="139" t="str">
        <f t="shared" si="4"/>
        <v/>
      </c>
      <c r="Q63" s="139" t="str">
        <f t="shared" si="5"/>
        <v/>
      </c>
      <c r="U63" s="139">
        <v>3694</v>
      </c>
      <c r="V63" s="139" t="s">
        <v>180</v>
      </c>
      <c r="X63" s="139" t="str">
        <f t="shared" si="6"/>
        <v>36</v>
      </c>
      <c r="Y63" s="139" t="str">
        <f t="shared" si="7"/>
        <v>369</v>
      </c>
      <c r="AA63" s="139" t="s">
        <v>2259</v>
      </c>
      <c r="AB63" s="139" t="s">
        <v>2260</v>
      </c>
    </row>
    <row r="64" spans="1:28">
      <c r="A64" s="149"/>
      <c r="B64" s="144" t="str">
        <f t="shared" si="1"/>
        <v/>
      </c>
      <c r="C64" s="149"/>
      <c r="D64" s="144" t="str">
        <f t="shared" si="2"/>
        <v/>
      </c>
      <c r="E64" s="183"/>
      <c r="F64" s="144" t="str">
        <f t="shared" si="3"/>
        <v/>
      </c>
      <c r="G64" s="182"/>
      <c r="H64" s="182"/>
      <c r="I64" s="182"/>
      <c r="J64" s="198"/>
      <c r="K64" s="197"/>
      <c r="L64" s="197"/>
      <c r="M64" s="198"/>
      <c r="N64" s="198"/>
      <c r="P64" s="139" t="str">
        <f t="shared" si="4"/>
        <v/>
      </c>
      <c r="Q64" s="139" t="str">
        <f t="shared" si="5"/>
        <v/>
      </c>
      <c r="U64" s="139">
        <v>3711</v>
      </c>
      <c r="V64" s="139" t="s">
        <v>127</v>
      </c>
      <c r="X64" s="139" t="str">
        <f t="shared" si="6"/>
        <v>37</v>
      </c>
      <c r="Y64" s="139" t="str">
        <f t="shared" si="7"/>
        <v>371</v>
      </c>
      <c r="AA64" s="139" t="s">
        <v>2261</v>
      </c>
      <c r="AB64" s="139" t="s">
        <v>2262</v>
      </c>
    </row>
    <row r="65" spans="1:28">
      <c r="A65" s="149"/>
      <c r="B65" s="144" t="str">
        <f t="shared" si="1"/>
        <v/>
      </c>
      <c r="C65" s="149"/>
      <c r="D65" s="144" t="str">
        <f t="shared" si="2"/>
        <v/>
      </c>
      <c r="E65" s="183"/>
      <c r="F65" s="144" t="str">
        <f t="shared" si="3"/>
        <v/>
      </c>
      <c r="G65" s="182"/>
      <c r="H65" s="182"/>
      <c r="I65" s="182"/>
      <c r="J65" s="198"/>
      <c r="K65" s="197"/>
      <c r="L65" s="197"/>
      <c r="M65" s="198"/>
      <c r="N65" s="198"/>
      <c r="P65" s="139" t="str">
        <f t="shared" si="4"/>
        <v/>
      </c>
      <c r="Q65" s="139" t="str">
        <f t="shared" si="5"/>
        <v/>
      </c>
      <c r="U65" s="139">
        <v>3712</v>
      </c>
      <c r="V65" s="139" t="s">
        <v>145</v>
      </c>
      <c r="X65" s="139" t="str">
        <f t="shared" si="6"/>
        <v>37</v>
      </c>
      <c r="Y65" s="139" t="str">
        <f t="shared" si="7"/>
        <v>371</v>
      </c>
      <c r="AA65" s="139" t="s">
        <v>2263</v>
      </c>
      <c r="AB65" s="139" t="s">
        <v>2264</v>
      </c>
    </row>
    <row r="66" spans="1:28">
      <c r="A66" s="149"/>
      <c r="B66" s="144" t="str">
        <f t="shared" si="1"/>
        <v/>
      </c>
      <c r="C66" s="149"/>
      <c r="D66" s="144" t="str">
        <f t="shared" si="2"/>
        <v/>
      </c>
      <c r="E66" s="183"/>
      <c r="F66" s="144" t="str">
        <f t="shared" si="3"/>
        <v/>
      </c>
      <c r="G66" s="182"/>
      <c r="H66" s="182"/>
      <c r="I66" s="182"/>
      <c r="J66" s="198"/>
      <c r="K66" s="197"/>
      <c r="L66" s="197"/>
      <c r="M66" s="198"/>
      <c r="N66" s="198"/>
      <c r="P66" s="139" t="str">
        <f t="shared" si="4"/>
        <v/>
      </c>
      <c r="Q66" s="139" t="str">
        <f t="shared" si="5"/>
        <v/>
      </c>
      <c r="U66" s="139">
        <v>3713</v>
      </c>
      <c r="V66" s="139" t="s">
        <v>172</v>
      </c>
      <c r="X66" s="139" t="str">
        <f t="shared" si="6"/>
        <v>37</v>
      </c>
      <c r="Y66" s="139" t="str">
        <f t="shared" si="7"/>
        <v>371</v>
      </c>
      <c r="AA66" s="139" t="s">
        <v>2265</v>
      </c>
      <c r="AB66" s="139" t="s">
        <v>2266</v>
      </c>
    </row>
    <row r="67" spans="1:28">
      <c r="A67" s="149"/>
      <c r="B67" s="144" t="str">
        <f t="shared" si="1"/>
        <v/>
      </c>
      <c r="C67" s="149"/>
      <c r="D67" s="144" t="str">
        <f t="shared" si="2"/>
        <v/>
      </c>
      <c r="E67" s="183"/>
      <c r="F67" s="144" t="str">
        <f t="shared" si="3"/>
        <v/>
      </c>
      <c r="G67" s="182"/>
      <c r="H67" s="182"/>
      <c r="I67" s="182"/>
      <c r="J67" s="198"/>
      <c r="K67" s="197"/>
      <c r="L67" s="197"/>
      <c r="M67" s="198"/>
      <c r="N67" s="198"/>
      <c r="P67" s="139" t="str">
        <f t="shared" si="4"/>
        <v/>
      </c>
      <c r="Q67" s="139" t="str">
        <f t="shared" si="5"/>
        <v/>
      </c>
      <c r="U67" s="139">
        <v>3714</v>
      </c>
      <c r="V67" s="139" t="s">
        <v>193</v>
      </c>
      <c r="X67" s="139" t="str">
        <f t="shared" si="6"/>
        <v>37</v>
      </c>
      <c r="Y67" s="139" t="str">
        <f t="shared" si="7"/>
        <v>371</v>
      </c>
      <c r="AA67" s="139" t="s">
        <v>2267</v>
      </c>
      <c r="AB67" s="139" t="s">
        <v>2268</v>
      </c>
    </row>
    <row r="68" spans="1:28">
      <c r="A68" s="149"/>
      <c r="B68" s="144" t="str">
        <f t="shared" ref="B68:B131" si="8">IFERROR(VLOOKUP(A68,$R$6:$S$23,2,FALSE),"")</f>
        <v/>
      </c>
      <c r="C68" s="149"/>
      <c r="D68" s="144" t="str">
        <f t="shared" ref="D68:D131" si="9">IFERROR(VLOOKUP(C68,$U$5:$W$129,2,FALSE),"")</f>
        <v/>
      </c>
      <c r="E68" s="183"/>
      <c r="F68" s="144" t="str">
        <f t="shared" ref="F68:F131" si="10">IFERROR(VLOOKUP(E68,$AA$6:$AB$1018,2,FALSE),"")</f>
        <v/>
      </c>
      <c r="G68" s="182"/>
      <c r="H68" s="182"/>
      <c r="I68" s="182"/>
      <c r="J68" s="198"/>
      <c r="K68" s="197"/>
      <c r="L68" s="197"/>
      <c r="M68" s="198"/>
      <c r="N68" s="198"/>
      <c r="P68" s="139" t="str">
        <f t="shared" ref="P68:P131" si="11">LEFT(C68,3)</f>
        <v/>
      </c>
      <c r="Q68" s="139" t="str">
        <f t="shared" ref="Q68:Q131" si="12">LEFT(C68,2)</f>
        <v/>
      </c>
      <c r="U68" s="139">
        <v>3715</v>
      </c>
      <c r="V68" s="139" t="s">
        <v>131</v>
      </c>
      <c r="X68" s="139" t="str">
        <f t="shared" si="6"/>
        <v>37</v>
      </c>
      <c r="Y68" s="139" t="str">
        <f t="shared" si="7"/>
        <v>371</v>
      </c>
      <c r="AA68" s="139" t="s">
        <v>2269</v>
      </c>
      <c r="AB68" s="139" t="s">
        <v>2270</v>
      </c>
    </row>
    <row r="69" spans="1:28">
      <c r="A69" s="149"/>
      <c r="B69" s="144" t="str">
        <f t="shared" si="8"/>
        <v/>
      </c>
      <c r="C69" s="149"/>
      <c r="D69" s="144" t="str">
        <f t="shared" si="9"/>
        <v/>
      </c>
      <c r="E69" s="183"/>
      <c r="F69" s="144" t="str">
        <f t="shared" si="10"/>
        <v/>
      </c>
      <c r="G69" s="182"/>
      <c r="H69" s="182"/>
      <c r="I69" s="182"/>
      <c r="J69" s="198"/>
      <c r="K69" s="197"/>
      <c r="L69" s="197"/>
      <c r="M69" s="198"/>
      <c r="N69" s="198"/>
      <c r="P69" s="139" t="str">
        <f t="shared" si="11"/>
        <v/>
      </c>
      <c r="Q69" s="139" t="str">
        <f t="shared" si="12"/>
        <v/>
      </c>
      <c r="U69" s="139">
        <v>3721</v>
      </c>
      <c r="V69" s="139" t="s">
        <v>69</v>
      </c>
      <c r="X69" s="139" t="str">
        <f t="shared" ref="X69:X129" si="13">LEFT(U69,2)</f>
        <v>37</v>
      </c>
      <c r="Y69" s="139" t="str">
        <f t="shared" si="7"/>
        <v>372</v>
      </c>
      <c r="AA69" s="139" t="s">
        <v>2271</v>
      </c>
      <c r="AB69" s="139" t="s">
        <v>2272</v>
      </c>
    </row>
    <row r="70" spans="1:28">
      <c r="A70" s="149"/>
      <c r="B70" s="144" t="str">
        <f t="shared" si="8"/>
        <v/>
      </c>
      <c r="C70" s="149"/>
      <c r="D70" s="144" t="str">
        <f t="shared" si="9"/>
        <v/>
      </c>
      <c r="E70" s="183"/>
      <c r="F70" s="144" t="str">
        <f t="shared" si="10"/>
        <v/>
      </c>
      <c r="G70" s="182"/>
      <c r="H70" s="182"/>
      <c r="I70" s="182"/>
      <c r="J70" s="198"/>
      <c r="K70" s="197"/>
      <c r="L70" s="197"/>
      <c r="M70" s="198"/>
      <c r="N70" s="198"/>
      <c r="P70" s="139" t="str">
        <f t="shared" si="11"/>
        <v/>
      </c>
      <c r="Q70" s="139" t="str">
        <f t="shared" si="12"/>
        <v/>
      </c>
      <c r="U70" s="139">
        <v>3722</v>
      </c>
      <c r="V70" s="139" t="s">
        <v>154</v>
      </c>
      <c r="X70" s="139" t="str">
        <f t="shared" si="13"/>
        <v>37</v>
      </c>
      <c r="Y70" s="139" t="str">
        <f t="shared" ref="Y70:Y129" si="14">LEFT(U70,3)</f>
        <v>372</v>
      </c>
      <c r="AA70" s="139" t="s">
        <v>2273</v>
      </c>
      <c r="AB70" s="139" t="s">
        <v>2274</v>
      </c>
    </row>
    <row r="71" spans="1:28">
      <c r="A71" s="149"/>
      <c r="B71" s="144" t="str">
        <f t="shared" si="8"/>
        <v/>
      </c>
      <c r="C71" s="149"/>
      <c r="D71" s="144" t="str">
        <f t="shared" si="9"/>
        <v/>
      </c>
      <c r="E71" s="183"/>
      <c r="F71" s="144" t="str">
        <f t="shared" si="10"/>
        <v/>
      </c>
      <c r="G71" s="182"/>
      <c r="H71" s="182"/>
      <c r="I71" s="182"/>
      <c r="J71" s="198"/>
      <c r="K71" s="197"/>
      <c r="L71" s="197"/>
      <c r="M71" s="198"/>
      <c r="N71" s="198"/>
      <c r="P71" s="139" t="str">
        <f t="shared" si="11"/>
        <v/>
      </c>
      <c r="Q71" s="139" t="str">
        <f t="shared" si="12"/>
        <v/>
      </c>
      <c r="U71" s="139">
        <v>3723</v>
      </c>
      <c r="V71" s="139" t="s">
        <v>109</v>
      </c>
      <c r="X71" s="139" t="str">
        <f t="shared" si="13"/>
        <v>37</v>
      </c>
      <c r="Y71" s="139" t="str">
        <f t="shared" si="14"/>
        <v>372</v>
      </c>
      <c r="AA71" s="139" t="s">
        <v>2275</v>
      </c>
      <c r="AB71" s="139" t="s">
        <v>2276</v>
      </c>
    </row>
    <row r="72" spans="1:28">
      <c r="A72" s="149"/>
      <c r="B72" s="144" t="str">
        <f t="shared" si="8"/>
        <v/>
      </c>
      <c r="C72" s="149"/>
      <c r="D72" s="144" t="str">
        <f t="shared" si="9"/>
        <v/>
      </c>
      <c r="E72" s="183"/>
      <c r="F72" s="144" t="str">
        <f t="shared" si="10"/>
        <v/>
      </c>
      <c r="G72" s="182"/>
      <c r="H72" s="182"/>
      <c r="I72" s="182"/>
      <c r="J72" s="198"/>
      <c r="K72" s="197"/>
      <c r="L72" s="197"/>
      <c r="M72" s="198"/>
      <c r="N72" s="198"/>
      <c r="P72" s="139" t="str">
        <f t="shared" si="11"/>
        <v/>
      </c>
      <c r="Q72" s="139" t="str">
        <f t="shared" si="12"/>
        <v/>
      </c>
      <c r="U72" s="139">
        <v>3811</v>
      </c>
      <c r="V72" s="139" t="s">
        <v>59</v>
      </c>
      <c r="X72" s="139" t="str">
        <f t="shared" si="13"/>
        <v>38</v>
      </c>
      <c r="Y72" s="139" t="str">
        <f t="shared" si="14"/>
        <v>381</v>
      </c>
      <c r="AA72" s="139" t="s">
        <v>2277</v>
      </c>
      <c r="AB72" s="139" t="s">
        <v>2278</v>
      </c>
    </row>
    <row r="73" spans="1:28">
      <c r="A73" s="149"/>
      <c r="B73" s="144" t="str">
        <f t="shared" si="8"/>
        <v/>
      </c>
      <c r="C73" s="149"/>
      <c r="D73" s="144" t="str">
        <f t="shared" si="9"/>
        <v/>
      </c>
      <c r="E73" s="183"/>
      <c r="F73" s="144" t="str">
        <f t="shared" si="10"/>
        <v/>
      </c>
      <c r="G73" s="182"/>
      <c r="H73" s="182"/>
      <c r="I73" s="182"/>
      <c r="J73" s="198"/>
      <c r="K73" s="197"/>
      <c r="L73" s="197"/>
      <c r="M73" s="198"/>
      <c r="N73" s="198"/>
      <c r="P73" s="139" t="str">
        <f t="shared" si="11"/>
        <v/>
      </c>
      <c r="Q73" s="139" t="str">
        <f t="shared" si="12"/>
        <v/>
      </c>
      <c r="U73" s="139">
        <v>3812</v>
      </c>
      <c r="V73" s="139" t="s">
        <v>155</v>
      </c>
      <c r="X73" s="139" t="str">
        <f t="shared" si="13"/>
        <v>38</v>
      </c>
      <c r="Y73" s="139" t="str">
        <f t="shared" si="14"/>
        <v>381</v>
      </c>
      <c r="AA73" s="139" t="s">
        <v>2279</v>
      </c>
      <c r="AB73" s="139" t="s">
        <v>2280</v>
      </c>
    </row>
    <row r="74" spans="1:28">
      <c r="A74" s="149"/>
      <c r="B74" s="144" t="str">
        <f t="shared" si="8"/>
        <v/>
      </c>
      <c r="C74" s="149"/>
      <c r="D74" s="144" t="str">
        <f t="shared" si="9"/>
        <v/>
      </c>
      <c r="E74" s="183"/>
      <c r="F74" s="144" t="str">
        <f t="shared" si="10"/>
        <v/>
      </c>
      <c r="G74" s="182"/>
      <c r="H74" s="182"/>
      <c r="I74" s="182"/>
      <c r="J74" s="198"/>
      <c r="K74" s="197"/>
      <c r="L74" s="197"/>
      <c r="M74" s="198"/>
      <c r="N74" s="198"/>
      <c r="P74" s="139" t="str">
        <f t="shared" si="11"/>
        <v/>
      </c>
      <c r="Q74" s="139" t="str">
        <f t="shared" si="12"/>
        <v/>
      </c>
      <c r="U74" s="139">
        <v>3813</v>
      </c>
      <c r="V74" s="139" t="s">
        <v>98</v>
      </c>
      <c r="X74" s="139" t="str">
        <f t="shared" si="13"/>
        <v>38</v>
      </c>
      <c r="Y74" s="139" t="str">
        <f t="shared" si="14"/>
        <v>381</v>
      </c>
      <c r="AA74" s="139" t="s">
        <v>2281</v>
      </c>
      <c r="AB74" s="139" t="s">
        <v>2282</v>
      </c>
    </row>
    <row r="75" spans="1:28">
      <c r="A75" s="149"/>
      <c r="B75" s="144" t="str">
        <f t="shared" si="8"/>
        <v/>
      </c>
      <c r="C75" s="149"/>
      <c r="D75" s="144" t="str">
        <f t="shared" si="9"/>
        <v/>
      </c>
      <c r="E75" s="183"/>
      <c r="F75" s="144" t="str">
        <f t="shared" si="10"/>
        <v/>
      </c>
      <c r="G75" s="182"/>
      <c r="H75" s="182"/>
      <c r="I75" s="182"/>
      <c r="J75" s="198"/>
      <c r="K75" s="197"/>
      <c r="L75" s="197"/>
      <c r="M75" s="198"/>
      <c r="N75" s="198"/>
      <c r="P75" s="139" t="str">
        <f t="shared" si="11"/>
        <v/>
      </c>
      <c r="Q75" s="139" t="str">
        <f t="shared" si="12"/>
        <v/>
      </c>
      <c r="U75" s="139">
        <v>3821</v>
      </c>
      <c r="V75" s="139" t="s">
        <v>173</v>
      </c>
      <c r="X75" s="139" t="str">
        <f t="shared" si="13"/>
        <v>38</v>
      </c>
      <c r="Y75" s="139" t="str">
        <f t="shared" si="14"/>
        <v>382</v>
      </c>
      <c r="AA75" s="139" t="s">
        <v>2283</v>
      </c>
      <c r="AB75" s="139" t="s">
        <v>2284</v>
      </c>
    </row>
    <row r="76" spans="1:28">
      <c r="A76" s="149"/>
      <c r="B76" s="144" t="str">
        <f t="shared" si="8"/>
        <v/>
      </c>
      <c r="C76" s="149"/>
      <c r="D76" s="144" t="str">
        <f t="shared" si="9"/>
        <v/>
      </c>
      <c r="E76" s="183"/>
      <c r="F76" s="144" t="str">
        <f t="shared" si="10"/>
        <v/>
      </c>
      <c r="G76" s="182"/>
      <c r="H76" s="182"/>
      <c r="I76" s="182"/>
      <c r="J76" s="198"/>
      <c r="K76" s="197"/>
      <c r="L76" s="197"/>
      <c r="M76" s="198"/>
      <c r="N76" s="198"/>
      <c r="P76" s="139" t="str">
        <f t="shared" si="11"/>
        <v/>
      </c>
      <c r="Q76" s="139" t="str">
        <f t="shared" si="12"/>
        <v/>
      </c>
      <c r="U76" s="139">
        <v>3831</v>
      </c>
      <c r="V76" s="139" t="s">
        <v>156</v>
      </c>
      <c r="X76" s="139" t="str">
        <f t="shared" si="13"/>
        <v>38</v>
      </c>
      <c r="Y76" s="139" t="str">
        <f t="shared" si="14"/>
        <v>383</v>
      </c>
      <c r="AA76" s="139" t="s">
        <v>2285</v>
      </c>
      <c r="AB76" s="139" t="s">
        <v>2286</v>
      </c>
    </row>
    <row r="77" spans="1:28">
      <c r="A77" s="149"/>
      <c r="B77" s="144" t="str">
        <f t="shared" si="8"/>
        <v/>
      </c>
      <c r="C77" s="149"/>
      <c r="D77" s="144" t="str">
        <f t="shared" si="9"/>
        <v/>
      </c>
      <c r="E77" s="183"/>
      <c r="F77" s="144" t="str">
        <f t="shared" si="10"/>
        <v/>
      </c>
      <c r="G77" s="182"/>
      <c r="H77" s="182"/>
      <c r="I77" s="182"/>
      <c r="J77" s="198"/>
      <c r="K77" s="197"/>
      <c r="L77" s="197"/>
      <c r="M77" s="198"/>
      <c r="N77" s="198"/>
      <c r="P77" s="139" t="str">
        <f t="shared" si="11"/>
        <v/>
      </c>
      <c r="Q77" s="139" t="str">
        <f t="shared" si="12"/>
        <v/>
      </c>
      <c r="U77" s="139">
        <v>3832</v>
      </c>
      <c r="V77" s="139" t="s">
        <v>196</v>
      </c>
      <c r="X77" s="139" t="str">
        <f t="shared" si="13"/>
        <v>38</v>
      </c>
      <c r="Y77" s="139" t="str">
        <f t="shared" si="14"/>
        <v>383</v>
      </c>
      <c r="AA77" s="139" t="s">
        <v>2287</v>
      </c>
      <c r="AB77" s="139" t="s">
        <v>2288</v>
      </c>
    </row>
    <row r="78" spans="1:28">
      <c r="A78" s="149"/>
      <c r="B78" s="144" t="str">
        <f t="shared" si="8"/>
        <v/>
      </c>
      <c r="C78" s="149"/>
      <c r="D78" s="144" t="str">
        <f t="shared" si="9"/>
        <v/>
      </c>
      <c r="E78" s="183"/>
      <c r="F78" s="144" t="str">
        <f t="shared" si="10"/>
        <v/>
      </c>
      <c r="G78" s="182"/>
      <c r="H78" s="182"/>
      <c r="I78" s="182"/>
      <c r="J78" s="198"/>
      <c r="K78" s="197"/>
      <c r="L78" s="197"/>
      <c r="M78" s="198"/>
      <c r="N78" s="198"/>
      <c r="P78" s="139" t="str">
        <f t="shared" si="11"/>
        <v/>
      </c>
      <c r="Q78" s="139" t="str">
        <f t="shared" si="12"/>
        <v/>
      </c>
      <c r="U78" s="139">
        <v>3833</v>
      </c>
      <c r="V78" s="139" t="s">
        <v>157</v>
      </c>
      <c r="X78" s="139" t="str">
        <f t="shared" si="13"/>
        <v>38</v>
      </c>
      <c r="Y78" s="139" t="str">
        <f t="shared" si="14"/>
        <v>383</v>
      </c>
      <c r="AA78" s="139" t="s">
        <v>2289</v>
      </c>
      <c r="AB78" s="139" t="s">
        <v>2290</v>
      </c>
    </row>
    <row r="79" spans="1:28">
      <c r="A79" s="149"/>
      <c r="B79" s="144" t="str">
        <f t="shared" si="8"/>
        <v/>
      </c>
      <c r="C79" s="149"/>
      <c r="D79" s="144" t="str">
        <f t="shared" si="9"/>
        <v/>
      </c>
      <c r="E79" s="183"/>
      <c r="F79" s="144" t="str">
        <f t="shared" si="10"/>
        <v/>
      </c>
      <c r="G79" s="182"/>
      <c r="H79" s="182"/>
      <c r="I79" s="182"/>
      <c r="J79" s="198"/>
      <c r="K79" s="197"/>
      <c r="L79" s="197"/>
      <c r="M79" s="198"/>
      <c r="N79" s="198"/>
      <c r="P79" s="139" t="str">
        <f t="shared" si="11"/>
        <v/>
      </c>
      <c r="Q79" s="139" t="str">
        <f t="shared" si="12"/>
        <v/>
      </c>
      <c r="U79" s="139">
        <v>3834</v>
      </c>
      <c r="V79" s="139" t="s">
        <v>158</v>
      </c>
      <c r="X79" s="139" t="str">
        <f t="shared" si="13"/>
        <v>38</v>
      </c>
      <c r="Y79" s="139" t="str">
        <f t="shared" si="14"/>
        <v>383</v>
      </c>
      <c r="AA79" s="139" t="s">
        <v>2291</v>
      </c>
      <c r="AB79" s="139" t="s">
        <v>2292</v>
      </c>
    </row>
    <row r="80" spans="1:28">
      <c r="A80" s="149"/>
      <c r="B80" s="144" t="str">
        <f t="shared" si="8"/>
        <v/>
      </c>
      <c r="C80" s="149"/>
      <c r="D80" s="144" t="str">
        <f t="shared" si="9"/>
        <v/>
      </c>
      <c r="E80" s="183"/>
      <c r="F80" s="144" t="str">
        <f t="shared" si="10"/>
        <v/>
      </c>
      <c r="G80" s="182"/>
      <c r="H80" s="182"/>
      <c r="I80" s="182"/>
      <c r="J80" s="198"/>
      <c r="K80" s="197"/>
      <c r="L80" s="197"/>
      <c r="M80" s="198"/>
      <c r="N80" s="198"/>
      <c r="P80" s="139" t="str">
        <f t="shared" si="11"/>
        <v/>
      </c>
      <c r="Q80" s="139" t="str">
        <f t="shared" si="12"/>
        <v/>
      </c>
      <c r="U80" s="139">
        <v>3835</v>
      </c>
      <c r="V80" s="139" t="s">
        <v>159</v>
      </c>
      <c r="X80" s="139" t="str">
        <f t="shared" si="13"/>
        <v>38</v>
      </c>
      <c r="Y80" s="139" t="str">
        <f t="shared" si="14"/>
        <v>383</v>
      </c>
      <c r="AA80" s="139" t="s">
        <v>2293</v>
      </c>
      <c r="AB80" s="139" t="s">
        <v>2294</v>
      </c>
    </row>
    <row r="81" spans="1:28">
      <c r="A81" s="149"/>
      <c r="B81" s="144" t="str">
        <f t="shared" si="8"/>
        <v/>
      </c>
      <c r="C81" s="149"/>
      <c r="D81" s="144" t="str">
        <f t="shared" si="9"/>
        <v/>
      </c>
      <c r="E81" s="183"/>
      <c r="F81" s="144" t="str">
        <f t="shared" si="10"/>
        <v/>
      </c>
      <c r="G81" s="182"/>
      <c r="H81" s="182"/>
      <c r="I81" s="182"/>
      <c r="J81" s="198"/>
      <c r="K81" s="197"/>
      <c r="L81" s="197"/>
      <c r="M81" s="198"/>
      <c r="N81" s="198"/>
      <c r="P81" s="139" t="str">
        <f t="shared" si="11"/>
        <v/>
      </c>
      <c r="Q81" s="139" t="str">
        <f t="shared" si="12"/>
        <v/>
      </c>
      <c r="U81" s="194">
        <v>3861</v>
      </c>
      <c r="V81" s="195" t="s">
        <v>762</v>
      </c>
      <c r="W81" s="194"/>
      <c r="X81" s="194" t="str">
        <f t="shared" si="13"/>
        <v>38</v>
      </c>
      <c r="Y81" s="194" t="str">
        <f t="shared" si="14"/>
        <v>386</v>
      </c>
      <c r="AA81" s="139" t="s">
        <v>2295</v>
      </c>
      <c r="AB81" s="139" t="s">
        <v>2296</v>
      </c>
    </row>
    <row r="82" spans="1:28">
      <c r="A82" s="149"/>
      <c r="B82" s="144" t="str">
        <f t="shared" si="8"/>
        <v/>
      </c>
      <c r="C82" s="149"/>
      <c r="D82" s="144" t="str">
        <f t="shared" si="9"/>
        <v/>
      </c>
      <c r="E82" s="183"/>
      <c r="F82" s="144" t="str">
        <f t="shared" si="10"/>
        <v/>
      </c>
      <c r="G82" s="182"/>
      <c r="H82" s="182"/>
      <c r="I82" s="182"/>
      <c r="J82" s="198"/>
      <c r="K82" s="197"/>
      <c r="L82" s="197"/>
      <c r="M82" s="198"/>
      <c r="N82" s="198"/>
      <c r="P82" s="139" t="str">
        <f t="shared" si="11"/>
        <v/>
      </c>
      <c r="Q82" s="139" t="str">
        <f t="shared" si="12"/>
        <v/>
      </c>
      <c r="U82" s="193">
        <v>3862</v>
      </c>
      <c r="V82" s="139" t="s">
        <v>763</v>
      </c>
      <c r="X82" s="139" t="str">
        <f t="shared" si="13"/>
        <v>38</v>
      </c>
      <c r="Y82" s="139" t="str">
        <f t="shared" si="14"/>
        <v>386</v>
      </c>
      <c r="AA82" s="139" t="s">
        <v>2297</v>
      </c>
      <c r="AB82" s="139" t="s">
        <v>2298</v>
      </c>
    </row>
    <row r="83" spans="1:28">
      <c r="A83" s="149"/>
      <c r="B83" s="144" t="str">
        <f t="shared" si="8"/>
        <v/>
      </c>
      <c r="C83" s="149"/>
      <c r="D83" s="144" t="str">
        <f t="shared" si="9"/>
        <v/>
      </c>
      <c r="E83" s="183"/>
      <c r="F83" s="144" t="str">
        <f t="shared" si="10"/>
        <v/>
      </c>
      <c r="G83" s="182"/>
      <c r="H83" s="182"/>
      <c r="I83" s="182"/>
      <c r="J83" s="198"/>
      <c r="K83" s="197"/>
      <c r="L83" s="197"/>
      <c r="M83" s="198"/>
      <c r="N83" s="198"/>
      <c r="P83" s="139" t="str">
        <f t="shared" si="11"/>
        <v/>
      </c>
      <c r="Q83" s="139" t="str">
        <f t="shared" si="12"/>
        <v/>
      </c>
      <c r="U83" s="193">
        <v>3863</v>
      </c>
      <c r="V83" s="139" t="s">
        <v>764</v>
      </c>
      <c r="X83" s="139" t="str">
        <f t="shared" si="13"/>
        <v>38</v>
      </c>
      <c r="Y83" s="139" t="str">
        <f t="shared" si="14"/>
        <v>386</v>
      </c>
      <c r="AA83" s="139" t="s">
        <v>2299</v>
      </c>
      <c r="AB83" s="139" t="s">
        <v>2300</v>
      </c>
    </row>
    <row r="84" spans="1:28">
      <c r="A84" s="149"/>
      <c r="B84" s="144" t="str">
        <f t="shared" si="8"/>
        <v/>
      </c>
      <c r="C84" s="149"/>
      <c r="D84" s="144" t="str">
        <f t="shared" si="9"/>
        <v/>
      </c>
      <c r="E84" s="183"/>
      <c r="F84" s="144" t="str">
        <f t="shared" si="10"/>
        <v/>
      </c>
      <c r="G84" s="182"/>
      <c r="H84" s="182"/>
      <c r="I84" s="182"/>
      <c r="J84" s="198"/>
      <c r="K84" s="197"/>
      <c r="L84" s="197"/>
      <c r="M84" s="198"/>
      <c r="N84" s="198"/>
      <c r="P84" s="139" t="str">
        <f t="shared" si="11"/>
        <v/>
      </c>
      <c r="Q84" s="139" t="str">
        <f t="shared" si="12"/>
        <v/>
      </c>
      <c r="U84" s="139">
        <v>4111</v>
      </c>
      <c r="V84" s="139" t="s">
        <v>160</v>
      </c>
      <c r="X84" s="139" t="str">
        <f t="shared" si="13"/>
        <v>41</v>
      </c>
      <c r="Y84" s="139" t="str">
        <f t="shared" si="14"/>
        <v>411</v>
      </c>
      <c r="AA84" s="139" t="s">
        <v>2301</v>
      </c>
      <c r="AB84" s="139" t="s">
        <v>2302</v>
      </c>
    </row>
    <row r="85" spans="1:28">
      <c r="A85" s="149"/>
      <c r="B85" s="144" t="str">
        <f t="shared" si="8"/>
        <v/>
      </c>
      <c r="C85" s="149"/>
      <c r="D85" s="144" t="str">
        <f t="shared" si="9"/>
        <v/>
      </c>
      <c r="E85" s="183"/>
      <c r="F85" s="144" t="str">
        <f t="shared" si="10"/>
        <v/>
      </c>
      <c r="G85" s="182"/>
      <c r="H85" s="182"/>
      <c r="I85" s="182"/>
      <c r="J85" s="198"/>
      <c r="K85" s="197"/>
      <c r="L85" s="197"/>
      <c r="M85" s="198"/>
      <c r="N85" s="198"/>
      <c r="P85" s="139" t="str">
        <f t="shared" si="11"/>
        <v/>
      </c>
      <c r="Q85" s="139" t="str">
        <f t="shared" si="12"/>
        <v/>
      </c>
      <c r="U85" s="139">
        <v>4113</v>
      </c>
      <c r="V85" s="139" t="s">
        <v>194</v>
      </c>
      <c r="X85" s="139" t="str">
        <f t="shared" si="13"/>
        <v>41</v>
      </c>
      <c r="Y85" s="139" t="str">
        <f t="shared" si="14"/>
        <v>411</v>
      </c>
      <c r="AA85" s="139" t="s">
        <v>2303</v>
      </c>
      <c r="AB85" s="139" t="s">
        <v>2304</v>
      </c>
    </row>
    <row r="86" spans="1:28">
      <c r="A86" s="149"/>
      <c r="B86" s="144" t="str">
        <f t="shared" si="8"/>
        <v/>
      </c>
      <c r="C86" s="149"/>
      <c r="D86" s="144" t="str">
        <f t="shared" si="9"/>
        <v/>
      </c>
      <c r="E86" s="183"/>
      <c r="F86" s="144" t="str">
        <f t="shared" si="10"/>
        <v/>
      </c>
      <c r="G86" s="182"/>
      <c r="H86" s="182"/>
      <c r="I86" s="182"/>
      <c r="J86" s="198"/>
      <c r="K86" s="197"/>
      <c r="L86" s="197"/>
      <c r="M86" s="198"/>
      <c r="N86" s="198"/>
      <c r="P86" s="139" t="str">
        <f t="shared" si="11"/>
        <v/>
      </c>
      <c r="Q86" s="139" t="str">
        <f t="shared" si="12"/>
        <v/>
      </c>
      <c r="U86" s="139">
        <v>4122</v>
      </c>
      <c r="V86" s="139" t="s">
        <v>161</v>
      </c>
      <c r="X86" s="139" t="str">
        <f t="shared" si="13"/>
        <v>41</v>
      </c>
      <c r="Y86" s="139" t="str">
        <f t="shared" si="14"/>
        <v>412</v>
      </c>
      <c r="AA86" s="139" t="s">
        <v>2305</v>
      </c>
      <c r="AB86" s="139" t="s">
        <v>2306</v>
      </c>
    </row>
    <row r="87" spans="1:28">
      <c r="A87" s="149"/>
      <c r="B87" s="144" t="str">
        <f t="shared" si="8"/>
        <v/>
      </c>
      <c r="C87" s="149"/>
      <c r="D87" s="144" t="str">
        <f t="shared" si="9"/>
        <v/>
      </c>
      <c r="E87" s="183"/>
      <c r="F87" s="144" t="str">
        <f t="shared" si="10"/>
        <v/>
      </c>
      <c r="G87" s="182"/>
      <c r="H87" s="182"/>
      <c r="I87" s="182"/>
      <c r="J87" s="198"/>
      <c r="K87" s="197"/>
      <c r="L87" s="197"/>
      <c r="M87" s="198"/>
      <c r="N87" s="198"/>
      <c r="P87" s="139" t="str">
        <f t="shared" si="11"/>
        <v/>
      </c>
      <c r="Q87" s="139" t="str">
        <f t="shared" si="12"/>
        <v/>
      </c>
      <c r="U87" s="139">
        <v>4123</v>
      </c>
      <c r="V87" s="139" t="s">
        <v>132</v>
      </c>
      <c r="X87" s="139" t="str">
        <f t="shared" si="13"/>
        <v>41</v>
      </c>
      <c r="Y87" s="139" t="str">
        <f t="shared" si="14"/>
        <v>412</v>
      </c>
      <c r="AA87" s="139" t="s">
        <v>814</v>
      </c>
      <c r="AB87" s="139" t="s">
        <v>815</v>
      </c>
    </row>
    <row r="88" spans="1:28">
      <c r="A88" s="149"/>
      <c r="B88" s="144" t="str">
        <f t="shared" si="8"/>
        <v/>
      </c>
      <c r="C88" s="149"/>
      <c r="D88" s="144" t="str">
        <f t="shared" si="9"/>
        <v/>
      </c>
      <c r="E88" s="183"/>
      <c r="F88" s="144" t="str">
        <f t="shared" si="10"/>
        <v/>
      </c>
      <c r="G88" s="182"/>
      <c r="H88" s="182"/>
      <c r="I88" s="182"/>
      <c r="J88" s="198"/>
      <c r="K88" s="197"/>
      <c r="L88" s="197"/>
      <c r="M88" s="198"/>
      <c r="N88" s="198"/>
      <c r="P88" s="139" t="str">
        <f t="shared" si="11"/>
        <v/>
      </c>
      <c r="Q88" s="139" t="str">
        <f t="shared" si="12"/>
        <v/>
      </c>
      <c r="U88" s="139">
        <v>4124</v>
      </c>
      <c r="V88" s="139" t="s">
        <v>118</v>
      </c>
      <c r="X88" s="139" t="str">
        <f t="shared" si="13"/>
        <v>41</v>
      </c>
      <c r="Y88" s="139" t="str">
        <f t="shared" si="14"/>
        <v>412</v>
      </c>
      <c r="AA88" s="139" t="s">
        <v>816</v>
      </c>
      <c r="AB88" s="139" t="s">
        <v>817</v>
      </c>
    </row>
    <row r="89" spans="1:28">
      <c r="A89" s="149"/>
      <c r="B89" s="144" t="str">
        <f t="shared" si="8"/>
        <v/>
      </c>
      <c r="C89" s="149"/>
      <c r="D89" s="144" t="str">
        <f t="shared" si="9"/>
        <v/>
      </c>
      <c r="E89" s="183"/>
      <c r="F89" s="144" t="str">
        <f t="shared" si="10"/>
        <v/>
      </c>
      <c r="G89" s="182"/>
      <c r="H89" s="182"/>
      <c r="I89" s="182"/>
      <c r="J89" s="198"/>
      <c r="K89" s="197"/>
      <c r="L89" s="197"/>
      <c r="M89" s="198"/>
      <c r="N89" s="198"/>
      <c r="P89" s="139" t="str">
        <f t="shared" si="11"/>
        <v/>
      </c>
      <c r="Q89" s="139" t="str">
        <f t="shared" si="12"/>
        <v/>
      </c>
      <c r="U89" s="139">
        <v>4126</v>
      </c>
      <c r="V89" s="139" t="s">
        <v>162</v>
      </c>
      <c r="X89" s="139" t="str">
        <f t="shared" si="13"/>
        <v>41</v>
      </c>
      <c r="Y89" s="139" t="str">
        <f t="shared" si="14"/>
        <v>412</v>
      </c>
      <c r="AA89" s="139" t="s">
        <v>818</v>
      </c>
      <c r="AB89" s="139" t="s">
        <v>819</v>
      </c>
    </row>
    <row r="90" spans="1:28">
      <c r="A90" s="149"/>
      <c r="B90" s="144" t="str">
        <f t="shared" si="8"/>
        <v/>
      </c>
      <c r="C90" s="149"/>
      <c r="D90" s="144" t="str">
        <f t="shared" si="9"/>
        <v/>
      </c>
      <c r="E90" s="183"/>
      <c r="F90" s="144" t="str">
        <f t="shared" si="10"/>
        <v/>
      </c>
      <c r="G90" s="182"/>
      <c r="H90" s="182"/>
      <c r="I90" s="182"/>
      <c r="J90" s="198"/>
      <c r="K90" s="197"/>
      <c r="L90" s="197"/>
      <c r="M90" s="198"/>
      <c r="N90" s="198"/>
      <c r="P90" s="139" t="str">
        <f t="shared" si="11"/>
        <v/>
      </c>
      <c r="Q90" s="139" t="str">
        <f t="shared" si="12"/>
        <v/>
      </c>
      <c r="U90" s="139">
        <v>4211</v>
      </c>
      <c r="V90" s="139" t="s">
        <v>176</v>
      </c>
      <c r="X90" s="139" t="str">
        <f t="shared" si="13"/>
        <v>42</v>
      </c>
      <c r="Y90" s="139" t="str">
        <f t="shared" si="14"/>
        <v>421</v>
      </c>
      <c r="AA90" s="139" t="s">
        <v>820</v>
      </c>
      <c r="AB90" s="139" t="s">
        <v>821</v>
      </c>
    </row>
    <row r="91" spans="1:28">
      <c r="A91" s="149"/>
      <c r="B91" s="144" t="str">
        <f t="shared" si="8"/>
        <v/>
      </c>
      <c r="C91" s="149"/>
      <c r="D91" s="144" t="str">
        <f t="shared" si="9"/>
        <v/>
      </c>
      <c r="E91" s="183"/>
      <c r="F91" s="144" t="str">
        <f t="shared" si="10"/>
        <v/>
      </c>
      <c r="G91" s="182"/>
      <c r="H91" s="182"/>
      <c r="I91" s="182"/>
      <c r="J91" s="198"/>
      <c r="K91" s="197"/>
      <c r="L91" s="197"/>
      <c r="M91" s="198"/>
      <c r="N91" s="198"/>
      <c r="P91" s="139" t="str">
        <f t="shared" si="11"/>
        <v/>
      </c>
      <c r="Q91" s="139" t="str">
        <f t="shared" si="12"/>
        <v/>
      </c>
      <c r="U91" s="139">
        <v>4212</v>
      </c>
      <c r="V91" s="139" t="s">
        <v>64</v>
      </c>
      <c r="X91" s="139" t="str">
        <f t="shared" si="13"/>
        <v>42</v>
      </c>
      <c r="Y91" s="139" t="str">
        <f t="shared" si="14"/>
        <v>421</v>
      </c>
      <c r="AA91" s="139" t="s">
        <v>822</v>
      </c>
      <c r="AB91" s="139" t="s">
        <v>823</v>
      </c>
    </row>
    <row r="92" spans="1:28">
      <c r="A92" s="149"/>
      <c r="B92" s="144" t="str">
        <f t="shared" si="8"/>
        <v/>
      </c>
      <c r="C92" s="149"/>
      <c r="D92" s="144" t="str">
        <f t="shared" si="9"/>
        <v/>
      </c>
      <c r="E92" s="183"/>
      <c r="F92" s="144" t="str">
        <f t="shared" si="10"/>
        <v/>
      </c>
      <c r="G92" s="182"/>
      <c r="H92" s="182"/>
      <c r="I92" s="182"/>
      <c r="J92" s="198"/>
      <c r="K92" s="197"/>
      <c r="L92" s="197"/>
      <c r="M92" s="198"/>
      <c r="N92" s="198"/>
      <c r="P92" s="139" t="str">
        <f t="shared" si="11"/>
        <v/>
      </c>
      <c r="Q92" s="139" t="str">
        <f t="shared" si="12"/>
        <v/>
      </c>
      <c r="U92" s="139">
        <v>4213</v>
      </c>
      <c r="V92" s="139" t="s">
        <v>163</v>
      </c>
      <c r="X92" s="139" t="str">
        <f t="shared" si="13"/>
        <v>42</v>
      </c>
      <c r="Y92" s="139" t="str">
        <f t="shared" si="14"/>
        <v>421</v>
      </c>
      <c r="AA92" s="139" t="s">
        <v>824</v>
      </c>
      <c r="AB92" s="139" t="s">
        <v>825</v>
      </c>
    </row>
    <row r="93" spans="1:28">
      <c r="A93" s="149"/>
      <c r="B93" s="144" t="str">
        <f t="shared" si="8"/>
        <v/>
      </c>
      <c r="C93" s="149"/>
      <c r="D93" s="144" t="str">
        <f t="shared" si="9"/>
        <v/>
      </c>
      <c r="E93" s="183"/>
      <c r="F93" s="144" t="str">
        <f t="shared" si="10"/>
        <v/>
      </c>
      <c r="G93" s="182"/>
      <c r="H93" s="182"/>
      <c r="I93" s="182"/>
      <c r="J93" s="198"/>
      <c r="K93" s="197"/>
      <c r="L93" s="197"/>
      <c r="M93" s="198"/>
      <c r="N93" s="198"/>
      <c r="P93" s="139" t="str">
        <f t="shared" si="11"/>
        <v/>
      </c>
      <c r="Q93" s="139" t="str">
        <f t="shared" si="12"/>
        <v/>
      </c>
      <c r="U93" s="139">
        <v>4214</v>
      </c>
      <c r="V93" s="139" t="s">
        <v>164</v>
      </c>
      <c r="X93" s="139" t="str">
        <f t="shared" si="13"/>
        <v>42</v>
      </c>
      <c r="Y93" s="139" t="str">
        <f t="shared" si="14"/>
        <v>421</v>
      </c>
      <c r="AA93" s="139" t="s">
        <v>826</v>
      </c>
      <c r="AB93" s="139" t="s">
        <v>827</v>
      </c>
    </row>
    <row r="94" spans="1:28">
      <c r="A94" s="149"/>
      <c r="B94" s="144" t="str">
        <f t="shared" si="8"/>
        <v/>
      </c>
      <c r="C94" s="149"/>
      <c r="D94" s="144" t="str">
        <f t="shared" si="9"/>
        <v/>
      </c>
      <c r="E94" s="183"/>
      <c r="F94" s="144" t="str">
        <f t="shared" si="10"/>
        <v/>
      </c>
      <c r="G94" s="182"/>
      <c r="H94" s="182"/>
      <c r="I94" s="182"/>
      <c r="J94" s="198"/>
      <c r="K94" s="197"/>
      <c r="L94" s="197"/>
      <c r="M94" s="198"/>
      <c r="N94" s="198"/>
      <c r="P94" s="139" t="str">
        <f t="shared" si="11"/>
        <v/>
      </c>
      <c r="Q94" s="139" t="str">
        <f t="shared" si="12"/>
        <v/>
      </c>
      <c r="U94" s="139">
        <v>4221</v>
      </c>
      <c r="V94" s="139" t="s">
        <v>99</v>
      </c>
      <c r="X94" s="139" t="str">
        <f t="shared" si="13"/>
        <v>42</v>
      </c>
      <c r="Y94" s="139" t="str">
        <f t="shared" si="14"/>
        <v>422</v>
      </c>
      <c r="AA94" s="139" t="s">
        <v>828</v>
      </c>
      <c r="AB94" s="139" t="s">
        <v>829</v>
      </c>
    </row>
    <row r="95" spans="1:28">
      <c r="A95" s="149"/>
      <c r="B95" s="144" t="str">
        <f t="shared" si="8"/>
        <v/>
      </c>
      <c r="C95" s="149"/>
      <c r="D95" s="144" t="str">
        <f t="shared" si="9"/>
        <v/>
      </c>
      <c r="E95" s="183"/>
      <c r="F95" s="144" t="str">
        <f t="shared" si="10"/>
        <v/>
      </c>
      <c r="G95" s="182"/>
      <c r="H95" s="182"/>
      <c r="I95" s="182"/>
      <c r="J95" s="198"/>
      <c r="K95" s="197"/>
      <c r="L95" s="197"/>
      <c r="M95" s="198"/>
      <c r="N95" s="198"/>
      <c r="P95" s="139" t="str">
        <f t="shared" si="11"/>
        <v/>
      </c>
      <c r="Q95" s="139" t="str">
        <f t="shared" si="12"/>
        <v/>
      </c>
      <c r="U95" s="139">
        <v>4222</v>
      </c>
      <c r="V95" s="139" t="s">
        <v>110</v>
      </c>
      <c r="X95" s="139" t="str">
        <f t="shared" si="13"/>
        <v>42</v>
      </c>
      <c r="Y95" s="139" t="str">
        <f t="shared" si="14"/>
        <v>422</v>
      </c>
      <c r="AA95" s="139" t="s">
        <v>830</v>
      </c>
      <c r="AB95" s="139" t="s">
        <v>831</v>
      </c>
    </row>
    <row r="96" spans="1:28">
      <c r="A96" s="149"/>
      <c r="B96" s="144" t="str">
        <f t="shared" si="8"/>
        <v/>
      </c>
      <c r="C96" s="149"/>
      <c r="D96" s="144" t="str">
        <f t="shared" si="9"/>
        <v/>
      </c>
      <c r="E96" s="183"/>
      <c r="F96" s="144" t="str">
        <f t="shared" si="10"/>
        <v/>
      </c>
      <c r="G96" s="182"/>
      <c r="H96" s="182"/>
      <c r="I96" s="182"/>
      <c r="J96" s="198"/>
      <c r="K96" s="197"/>
      <c r="L96" s="197"/>
      <c r="M96" s="198"/>
      <c r="N96" s="198"/>
      <c r="P96" s="139" t="str">
        <f t="shared" si="11"/>
        <v/>
      </c>
      <c r="Q96" s="139" t="str">
        <f t="shared" si="12"/>
        <v/>
      </c>
      <c r="U96" s="139">
        <v>4223</v>
      </c>
      <c r="V96" s="139" t="s">
        <v>123</v>
      </c>
      <c r="X96" s="139" t="str">
        <f t="shared" si="13"/>
        <v>42</v>
      </c>
      <c r="Y96" s="139" t="str">
        <f t="shared" si="14"/>
        <v>422</v>
      </c>
      <c r="AA96" s="139" t="s">
        <v>832</v>
      </c>
      <c r="AB96" s="139" t="s">
        <v>833</v>
      </c>
    </row>
    <row r="97" spans="1:28">
      <c r="A97" s="149"/>
      <c r="B97" s="144" t="str">
        <f t="shared" si="8"/>
        <v/>
      </c>
      <c r="C97" s="149"/>
      <c r="D97" s="144" t="str">
        <f t="shared" si="9"/>
        <v/>
      </c>
      <c r="E97" s="183"/>
      <c r="F97" s="144" t="str">
        <f t="shared" si="10"/>
        <v/>
      </c>
      <c r="G97" s="182"/>
      <c r="H97" s="182"/>
      <c r="I97" s="182"/>
      <c r="J97" s="198"/>
      <c r="K97" s="197"/>
      <c r="L97" s="197"/>
      <c r="M97" s="198"/>
      <c r="N97" s="198"/>
      <c r="P97" s="139" t="str">
        <f t="shared" si="11"/>
        <v/>
      </c>
      <c r="Q97" s="139" t="str">
        <f t="shared" si="12"/>
        <v/>
      </c>
      <c r="U97" s="139">
        <v>4224</v>
      </c>
      <c r="V97" s="139" t="s">
        <v>116</v>
      </c>
      <c r="X97" s="139" t="str">
        <f t="shared" si="13"/>
        <v>42</v>
      </c>
      <c r="Y97" s="139" t="str">
        <f t="shared" si="14"/>
        <v>422</v>
      </c>
      <c r="AA97" s="139" t="s">
        <v>834</v>
      </c>
      <c r="AB97" s="139" t="s">
        <v>835</v>
      </c>
    </row>
    <row r="98" spans="1:28">
      <c r="A98" s="149"/>
      <c r="B98" s="144" t="str">
        <f t="shared" si="8"/>
        <v/>
      </c>
      <c r="C98" s="149"/>
      <c r="D98" s="144" t="str">
        <f t="shared" si="9"/>
        <v/>
      </c>
      <c r="E98" s="183"/>
      <c r="F98" s="144" t="str">
        <f t="shared" si="10"/>
        <v/>
      </c>
      <c r="G98" s="182"/>
      <c r="H98" s="182"/>
      <c r="I98" s="182"/>
      <c r="J98" s="198"/>
      <c r="K98" s="197"/>
      <c r="L98" s="197"/>
      <c r="M98" s="198"/>
      <c r="N98" s="198"/>
      <c r="P98" s="139" t="str">
        <f t="shared" si="11"/>
        <v/>
      </c>
      <c r="Q98" s="139" t="str">
        <f t="shared" si="12"/>
        <v/>
      </c>
      <c r="U98" s="139">
        <v>4225</v>
      </c>
      <c r="V98" s="139" t="s">
        <v>120</v>
      </c>
      <c r="X98" s="139" t="str">
        <f t="shared" si="13"/>
        <v>42</v>
      </c>
      <c r="Y98" s="139" t="str">
        <f t="shared" si="14"/>
        <v>422</v>
      </c>
      <c r="AA98" s="139" t="s">
        <v>836</v>
      </c>
      <c r="AB98" s="139" t="s">
        <v>837</v>
      </c>
    </row>
    <row r="99" spans="1:28">
      <c r="A99" s="149"/>
      <c r="B99" s="144" t="str">
        <f t="shared" si="8"/>
        <v/>
      </c>
      <c r="C99" s="149"/>
      <c r="D99" s="144" t="str">
        <f t="shared" si="9"/>
        <v/>
      </c>
      <c r="E99" s="183"/>
      <c r="F99" s="144" t="str">
        <f t="shared" si="10"/>
        <v/>
      </c>
      <c r="G99" s="182"/>
      <c r="H99" s="182"/>
      <c r="I99" s="182"/>
      <c r="J99" s="198"/>
      <c r="K99" s="197"/>
      <c r="L99" s="197"/>
      <c r="M99" s="198"/>
      <c r="N99" s="198"/>
      <c r="P99" s="139" t="str">
        <f t="shared" si="11"/>
        <v/>
      </c>
      <c r="Q99" s="139" t="str">
        <f t="shared" si="12"/>
        <v/>
      </c>
      <c r="U99" s="139">
        <v>4226</v>
      </c>
      <c r="V99" s="139" t="s">
        <v>165</v>
      </c>
      <c r="X99" s="139" t="str">
        <f t="shared" si="13"/>
        <v>42</v>
      </c>
      <c r="Y99" s="139" t="str">
        <f t="shared" si="14"/>
        <v>422</v>
      </c>
      <c r="AA99" s="139" t="s">
        <v>838</v>
      </c>
      <c r="AB99" s="139" t="s">
        <v>839</v>
      </c>
    </row>
    <row r="100" spans="1:28">
      <c r="A100" s="149"/>
      <c r="B100" s="144" t="str">
        <f t="shared" si="8"/>
        <v/>
      </c>
      <c r="C100" s="149"/>
      <c r="D100" s="144" t="str">
        <f t="shared" si="9"/>
        <v/>
      </c>
      <c r="E100" s="183"/>
      <c r="F100" s="144" t="str">
        <f t="shared" si="10"/>
        <v/>
      </c>
      <c r="G100" s="182"/>
      <c r="H100" s="182"/>
      <c r="I100" s="182"/>
      <c r="J100" s="198"/>
      <c r="K100" s="197"/>
      <c r="L100" s="197"/>
      <c r="M100" s="198"/>
      <c r="N100" s="198"/>
      <c r="P100" s="139" t="str">
        <f t="shared" si="11"/>
        <v/>
      </c>
      <c r="Q100" s="139" t="str">
        <f t="shared" si="12"/>
        <v/>
      </c>
      <c r="U100" s="139">
        <v>4227</v>
      </c>
      <c r="V100" s="139" t="s">
        <v>133</v>
      </c>
      <c r="X100" s="139" t="str">
        <f t="shared" si="13"/>
        <v>42</v>
      </c>
      <c r="Y100" s="139" t="str">
        <f t="shared" si="14"/>
        <v>422</v>
      </c>
      <c r="AA100" s="139" t="s">
        <v>840</v>
      </c>
      <c r="AB100" s="139" t="s">
        <v>841</v>
      </c>
    </row>
    <row r="101" spans="1:28">
      <c r="A101" s="149"/>
      <c r="B101" s="144" t="str">
        <f t="shared" si="8"/>
        <v/>
      </c>
      <c r="C101" s="149"/>
      <c r="D101" s="144" t="str">
        <f t="shared" si="9"/>
        <v/>
      </c>
      <c r="E101" s="183"/>
      <c r="F101" s="144" t="str">
        <f t="shared" si="10"/>
        <v/>
      </c>
      <c r="G101" s="182"/>
      <c r="H101" s="182"/>
      <c r="I101" s="182"/>
      <c r="J101" s="198"/>
      <c r="K101" s="197"/>
      <c r="L101" s="197"/>
      <c r="M101" s="198"/>
      <c r="N101" s="198"/>
      <c r="P101" s="139" t="str">
        <f t="shared" si="11"/>
        <v/>
      </c>
      <c r="Q101" s="139" t="str">
        <f t="shared" si="12"/>
        <v/>
      </c>
      <c r="U101" s="139">
        <v>4231</v>
      </c>
      <c r="V101" s="139" t="s">
        <v>166</v>
      </c>
      <c r="X101" s="139" t="str">
        <f t="shared" si="13"/>
        <v>42</v>
      </c>
      <c r="Y101" s="139" t="str">
        <f t="shared" si="14"/>
        <v>423</v>
      </c>
      <c r="AA101" s="139" t="s">
        <v>1427</v>
      </c>
      <c r="AB101" s="139" t="s">
        <v>1428</v>
      </c>
    </row>
    <row r="102" spans="1:28">
      <c r="A102" s="149"/>
      <c r="B102" s="144" t="str">
        <f t="shared" si="8"/>
        <v/>
      </c>
      <c r="C102" s="149"/>
      <c r="D102" s="144" t="str">
        <f t="shared" si="9"/>
        <v/>
      </c>
      <c r="E102" s="183"/>
      <c r="F102" s="144" t="str">
        <f t="shared" si="10"/>
        <v/>
      </c>
      <c r="G102" s="182"/>
      <c r="H102" s="182"/>
      <c r="I102" s="182"/>
      <c r="J102" s="198"/>
      <c r="K102" s="197"/>
      <c r="L102" s="197"/>
      <c r="M102" s="198"/>
      <c r="N102" s="198"/>
      <c r="P102" s="139" t="str">
        <f t="shared" si="11"/>
        <v/>
      </c>
      <c r="Q102" s="139" t="str">
        <f t="shared" si="12"/>
        <v/>
      </c>
      <c r="U102" s="139">
        <v>4233</v>
      </c>
      <c r="V102" s="139" t="s">
        <v>174</v>
      </c>
      <c r="X102" s="139" t="str">
        <f t="shared" si="13"/>
        <v>42</v>
      </c>
      <c r="Y102" s="139" t="str">
        <f t="shared" si="14"/>
        <v>423</v>
      </c>
      <c r="AA102" s="139" t="s">
        <v>1429</v>
      </c>
      <c r="AB102" s="139" t="s">
        <v>1430</v>
      </c>
    </row>
    <row r="103" spans="1:28">
      <c r="A103" s="149"/>
      <c r="B103" s="144" t="str">
        <f t="shared" si="8"/>
        <v/>
      </c>
      <c r="C103" s="149"/>
      <c r="D103" s="144" t="str">
        <f t="shared" si="9"/>
        <v/>
      </c>
      <c r="E103" s="183"/>
      <c r="F103" s="144" t="str">
        <f t="shared" si="10"/>
        <v/>
      </c>
      <c r="G103" s="182"/>
      <c r="H103" s="182"/>
      <c r="I103" s="182"/>
      <c r="J103" s="198"/>
      <c r="K103" s="197"/>
      <c r="L103" s="197"/>
      <c r="M103" s="198"/>
      <c r="N103" s="198"/>
      <c r="P103" s="139" t="str">
        <f t="shared" si="11"/>
        <v/>
      </c>
      <c r="Q103" s="139" t="str">
        <f t="shared" si="12"/>
        <v/>
      </c>
      <c r="U103" s="139">
        <v>4241</v>
      </c>
      <c r="V103" s="139" t="s">
        <v>111</v>
      </c>
      <c r="X103" s="139" t="str">
        <f t="shared" si="13"/>
        <v>42</v>
      </c>
      <c r="Y103" s="139" t="str">
        <f t="shared" si="14"/>
        <v>424</v>
      </c>
      <c r="AA103" s="139" t="s">
        <v>1431</v>
      </c>
      <c r="AB103" s="139" t="s">
        <v>1432</v>
      </c>
    </row>
    <row r="104" spans="1:28">
      <c r="A104" s="149"/>
      <c r="B104" s="144" t="str">
        <f t="shared" si="8"/>
        <v/>
      </c>
      <c r="C104" s="149"/>
      <c r="D104" s="144" t="str">
        <f t="shared" si="9"/>
        <v/>
      </c>
      <c r="E104" s="183"/>
      <c r="F104" s="144" t="str">
        <f t="shared" si="10"/>
        <v/>
      </c>
      <c r="G104" s="182"/>
      <c r="H104" s="182"/>
      <c r="I104" s="182"/>
      <c r="J104" s="198"/>
      <c r="K104" s="197"/>
      <c r="L104" s="197"/>
      <c r="M104" s="198"/>
      <c r="N104" s="198"/>
      <c r="P104" s="139" t="str">
        <f t="shared" si="11"/>
        <v/>
      </c>
      <c r="Q104" s="139" t="str">
        <f t="shared" si="12"/>
        <v/>
      </c>
      <c r="U104" s="139">
        <v>4242</v>
      </c>
      <c r="V104" s="139" t="s">
        <v>143</v>
      </c>
      <c r="X104" s="139" t="str">
        <f t="shared" si="13"/>
        <v>42</v>
      </c>
      <c r="Y104" s="139" t="str">
        <f t="shared" si="14"/>
        <v>424</v>
      </c>
      <c r="AA104" s="139" t="s">
        <v>1433</v>
      </c>
      <c r="AB104" s="139" t="s">
        <v>1434</v>
      </c>
    </row>
    <row r="105" spans="1:28">
      <c r="A105" s="149"/>
      <c r="B105" s="144" t="str">
        <f t="shared" si="8"/>
        <v/>
      </c>
      <c r="C105" s="149"/>
      <c r="D105" s="144" t="str">
        <f t="shared" si="9"/>
        <v/>
      </c>
      <c r="E105" s="183"/>
      <c r="F105" s="144" t="str">
        <f t="shared" si="10"/>
        <v/>
      </c>
      <c r="G105" s="182"/>
      <c r="H105" s="182"/>
      <c r="I105" s="182"/>
      <c r="J105" s="198"/>
      <c r="K105" s="197"/>
      <c r="L105" s="197"/>
      <c r="M105" s="198"/>
      <c r="N105" s="198"/>
      <c r="P105" s="139" t="str">
        <f t="shared" si="11"/>
        <v/>
      </c>
      <c r="Q105" s="139" t="str">
        <f t="shared" si="12"/>
        <v/>
      </c>
      <c r="U105" s="139">
        <v>4244</v>
      </c>
      <c r="V105" s="139" t="s">
        <v>175</v>
      </c>
      <c r="X105" s="139" t="str">
        <f t="shared" si="13"/>
        <v>42</v>
      </c>
      <c r="Y105" s="139" t="str">
        <f t="shared" si="14"/>
        <v>424</v>
      </c>
      <c r="AA105" s="139" t="s">
        <v>1435</v>
      </c>
      <c r="AB105" s="139" t="s">
        <v>1436</v>
      </c>
    </row>
    <row r="106" spans="1:28">
      <c r="A106" s="149"/>
      <c r="B106" s="144" t="str">
        <f t="shared" si="8"/>
        <v/>
      </c>
      <c r="C106" s="149"/>
      <c r="D106" s="144" t="str">
        <f t="shared" si="9"/>
        <v/>
      </c>
      <c r="E106" s="183"/>
      <c r="F106" s="144" t="str">
        <f t="shared" si="10"/>
        <v/>
      </c>
      <c r="G106" s="182"/>
      <c r="H106" s="182"/>
      <c r="I106" s="182"/>
      <c r="J106" s="198"/>
      <c r="K106" s="197"/>
      <c r="L106" s="197"/>
      <c r="M106" s="198"/>
      <c r="N106" s="198"/>
      <c r="P106" s="139" t="str">
        <f t="shared" si="11"/>
        <v/>
      </c>
      <c r="Q106" s="139" t="str">
        <f t="shared" si="12"/>
        <v/>
      </c>
      <c r="U106" s="139">
        <v>4251</v>
      </c>
      <c r="V106" s="139" t="s">
        <v>167</v>
      </c>
      <c r="X106" s="139" t="str">
        <f t="shared" si="13"/>
        <v>42</v>
      </c>
      <c r="Y106" s="139" t="str">
        <f t="shared" si="14"/>
        <v>425</v>
      </c>
      <c r="AA106" s="139" t="s">
        <v>1437</v>
      </c>
      <c r="AB106" s="139" t="s">
        <v>1438</v>
      </c>
    </row>
    <row r="107" spans="1:28">
      <c r="A107" s="149"/>
      <c r="B107" s="144" t="str">
        <f t="shared" si="8"/>
        <v/>
      </c>
      <c r="C107" s="149"/>
      <c r="D107" s="144" t="str">
        <f t="shared" si="9"/>
        <v/>
      </c>
      <c r="E107" s="183"/>
      <c r="F107" s="144" t="str">
        <f t="shared" si="10"/>
        <v/>
      </c>
      <c r="G107" s="182"/>
      <c r="H107" s="182"/>
      <c r="I107" s="182"/>
      <c r="J107" s="198"/>
      <c r="K107" s="197"/>
      <c r="L107" s="197"/>
      <c r="M107" s="198"/>
      <c r="N107" s="198"/>
      <c r="P107" s="139" t="str">
        <f t="shared" si="11"/>
        <v/>
      </c>
      <c r="Q107" s="139" t="str">
        <f t="shared" si="12"/>
        <v/>
      </c>
      <c r="U107" s="139">
        <v>4252</v>
      </c>
      <c r="V107" s="139" t="s">
        <v>168</v>
      </c>
      <c r="X107" s="139" t="str">
        <f t="shared" si="13"/>
        <v>42</v>
      </c>
      <c r="Y107" s="139" t="str">
        <f t="shared" si="14"/>
        <v>425</v>
      </c>
      <c r="AA107" s="139" t="s">
        <v>1439</v>
      </c>
      <c r="AB107" s="139" t="s">
        <v>1440</v>
      </c>
    </row>
    <row r="108" spans="1:28">
      <c r="A108" s="149"/>
      <c r="B108" s="144" t="str">
        <f t="shared" si="8"/>
        <v/>
      </c>
      <c r="C108" s="149"/>
      <c r="D108" s="144" t="str">
        <f t="shared" si="9"/>
        <v/>
      </c>
      <c r="E108" s="183"/>
      <c r="F108" s="144" t="str">
        <f t="shared" si="10"/>
        <v/>
      </c>
      <c r="G108" s="182"/>
      <c r="H108" s="182"/>
      <c r="I108" s="182"/>
      <c r="J108" s="198"/>
      <c r="K108" s="197"/>
      <c r="L108" s="197"/>
      <c r="M108" s="198"/>
      <c r="N108" s="198"/>
      <c r="P108" s="139" t="str">
        <f t="shared" si="11"/>
        <v/>
      </c>
      <c r="Q108" s="139" t="str">
        <f t="shared" si="12"/>
        <v/>
      </c>
      <c r="U108" s="139">
        <v>4262</v>
      </c>
      <c r="V108" s="139" t="s">
        <v>112</v>
      </c>
      <c r="X108" s="139" t="str">
        <f t="shared" si="13"/>
        <v>42</v>
      </c>
      <c r="Y108" s="139" t="str">
        <f t="shared" si="14"/>
        <v>426</v>
      </c>
      <c r="AA108" s="139" t="s">
        <v>1441</v>
      </c>
      <c r="AB108" s="139" t="s">
        <v>1442</v>
      </c>
    </row>
    <row r="109" spans="1:28">
      <c r="A109" s="149"/>
      <c r="B109" s="144" t="str">
        <f t="shared" si="8"/>
        <v/>
      </c>
      <c r="C109" s="149"/>
      <c r="D109" s="144" t="str">
        <f t="shared" si="9"/>
        <v/>
      </c>
      <c r="E109" s="183"/>
      <c r="F109" s="144" t="str">
        <f t="shared" si="10"/>
        <v/>
      </c>
      <c r="G109" s="182"/>
      <c r="H109" s="182"/>
      <c r="I109" s="182"/>
      <c r="J109" s="198"/>
      <c r="K109" s="197"/>
      <c r="L109" s="197"/>
      <c r="M109" s="198"/>
      <c r="N109" s="198"/>
      <c r="P109" s="139" t="str">
        <f t="shared" si="11"/>
        <v/>
      </c>
      <c r="Q109" s="139" t="str">
        <f t="shared" si="12"/>
        <v/>
      </c>
      <c r="U109" s="139">
        <v>4263</v>
      </c>
      <c r="V109" s="139" t="s">
        <v>169</v>
      </c>
      <c r="X109" s="139" t="str">
        <f t="shared" si="13"/>
        <v>42</v>
      </c>
      <c r="Y109" s="139" t="str">
        <f t="shared" si="14"/>
        <v>426</v>
      </c>
      <c r="AA109" s="139" t="s">
        <v>1443</v>
      </c>
      <c r="AB109" s="139" t="s">
        <v>1444</v>
      </c>
    </row>
    <row r="110" spans="1:28">
      <c r="A110" s="149"/>
      <c r="B110" s="144" t="str">
        <f t="shared" si="8"/>
        <v/>
      </c>
      <c r="C110" s="149"/>
      <c r="D110" s="144" t="str">
        <f t="shared" si="9"/>
        <v/>
      </c>
      <c r="E110" s="183"/>
      <c r="F110" s="144" t="str">
        <f t="shared" si="10"/>
        <v/>
      </c>
      <c r="G110" s="182"/>
      <c r="H110" s="182"/>
      <c r="I110" s="182"/>
      <c r="J110" s="198"/>
      <c r="K110" s="197"/>
      <c r="L110" s="197"/>
      <c r="M110" s="198"/>
      <c r="N110" s="198"/>
      <c r="P110" s="139" t="str">
        <f t="shared" si="11"/>
        <v/>
      </c>
      <c r="Q110" s="139" t="str">
        <f t="shared" si="12"/>
        <v/>
      </c>
      <c r="U110" s="139">
        <v>4264</v>
      </c>
      <c r="V110" s="139" t="s">
        <v>124</v>
      </c>
      <c r="X110" s="139" t="str">
        <f t="shared" si="13"/>
        <v>42</v>
      </c>
      <c r="Y110" s="139" t="str">
        <f t="shared" si="14"/>
        <v>426</v>
      </c>
      <c r="AA110" s="139" t="s">
        <v>1445</v>
      </c>
      <c r="AB110" s="139" t="s">
        <v>1446</v>
      </c>
    </row>
    <row r="111" spans="1:28">
      <c r="A111" s="149"/>
      <c r="B111" s="144" t="str">
        <f t="shared" si="8"/>
        <v/>
      </c>
      <c r="C111" s="149"/>
      <c r="D111" s="144" t="str">
        <f t="shared" si="9"/>
        <v/>
      </c>
      <c r="E111" s="183"/>
      <c r="F111" s="144" t="str">
        <f t="shared" si="10"/>
        <v/>
      </c>
      <c r="G111" s="182"/>
      <c r="H111" s="182"/>
      <c r="I111" s="182"/>
      <c r="J111" s="198"/>
      <c r="K111" s="197"/>
      <c r="L111" s="197"/>
      <c r="M111" s="198"/>
      <c r="N111" s="198"/>
      <c r="P111" s="139" t="str">
        <f t="shared" si="11"/>
        <v/>
      </c>
      <c r="Q111" s="139" t="str">
        <f t="shared" si="12"/>
        <v/>
      </c>
      <c r="U111" s="139">
        <v>4312</v>
      </c>
      <c r="V111" s="139" t="s">
        <v>126</v>
      </c>
      <c r="X111" s="139" t="str">
        <f t="shared" si="13"/>
        <v>43</v>
      </c>
      <c r="Y111" s="139" t="str">
        <f t="shared" si="14"/>
        <v>431</v>
      </c>
      <c r="AA111" s="139" t="s">
        <v>1447</v>
      </c>
      <c r="AB111" s="139" t="s">
        <v>1448</v>
      </c>
    </row>
    <row r="112" spans="1:28">
      <c r="A112" s="149"/>
      <c r="B112" s="144" t="str">
        <f t="shared" si="8"/>
        <v/>
      </c>
      <c r="C112" s="149"/>
      <c r="D112" s="144" t="str">
        <f t="shared" si="9"/>
        <v/>
      </c>
      <c r="E112" s="183"/>
      <c r="F112" s="144" t="str">
        <f t="shared" si="10"/>
        <v/>
      </c>
      <c r="G112" s="182"/>
      <c r="H112" s="182"/>
      <c r="I112" s="182"/>
      <c r="J112" s="198"/>
      <c r="K112" s="197"/>
      <c r="L112" s="197"/>
      <c r="M112" s="198"/>
      <c r="N112" s="198"/>
      <c r="P112" s="139" t="str">
        <f t="shared" si="11"/>
        <v/>
      </c>
      <c r="Q112" s="139" t="str">
        <f t="shared" si="12"/>
        <v/>
      </c>
      <c r="U112" s="139">
        <v>4411</v>
      </c>
      <c r="V112" s="139" t="s">
        <v>170</v>
      </c>
      <c r="X112" s="139" t="str">
        <f t="shared" si="13"/>
        <v>44</v>
      </c>
      <c r="Y112" s="139" t="str">
        <f t="shared" si="14"/>
        <v>441</v>
      </c>
      <c r="AA112" s="139" t="s">
        <v>1449</v>
      </c>
      <c r="AB112" s="139" t="s">
        <v>1450</v>
      </c>
    </row>
    <row r="113" spans="1:28">
      <c r="A113" s="149"/>
      <c r="B113" s="144" t="str">
        <f t="shared" si="8"/>
        <v/>
      </c>
      <c r="C113" s="149"/>
      <c r="D113" s="144" t="str">
        <f t="shared" si="9"/>
        <v/>
      </c>
      <c r="E113" s="183"/>
      <c r="F113" s="144" t="str">
        <f t="shared" si="10"/>
        <v/>
      </c>
      <c r="G113" s="182"/>
      <c r="H113" s="182"/>
      <c r="I113" s="182"/>
      <c r="J113" s="198"/>
      <c r="K113" s="197"/>
      <c r="L113" s="197"/>
      <c r="M113" s="198"/>
      <c r="N113" s="198"/>
      <c r="P113" s="139" t="str">
        <f t="shared" si="11"/>
        <v/>
      </c>
      <c r="Q113" s="139" t="str">
        <f t="shared" si="12"/>
        <v/>
      </c>
      <c r="U113" s="139">
        <v>4511</v>
      </c>
      <c r="V113" s="139" t="s">
        <v>125</v>
      </c>
      <c r="X113" s="139" t="str">
        <f t="shared" si="13"/>
        <v>45</v>
      </c>
      <c r="Y113" s="139" t="str">
        <f t="shared" si="14"/>
        <v>451</v>
      </c>
      <c r="AA113" s="139" t="s">
        <v>1451</v>
      </c>
      <c r="AB113" s="139" t="s">
        <v>1452</v>
      </c>
    </row>
    <row r="114" spans="1:28">
      <c r="A114" s="149"/>
      <c r="B114" s="144" t="str">
        <f t="shared" si="8"/>
        <v/>
      </c>
      <c r="C114" s="149"/>
      <c r="D114" s="144" t="str">
        <f t="shared" si="9"/>
        <v/>
      </c>
      <c r="E114" s="183"/>
      <c r="F114" s="144" t="str">
        <f t="shared" si="10"/>
        <v/>
      </c>
      <c r="G114" s="182"/>
      <c r="H114" s="182"/>
      <c r="I114" s="182"/>
      <c r="J114" s="198"/>
      <c r="K114" s="197"/>
      <c r="L114" s="197"/>
      <c r="M114" s="198"/>
      <c r="N114" s="198"/>
      <c r="P114" s="139" t="str">
        <f t="shared" si="11"/>
        <v/>
      </c>
      <c r="Q114" s="139" t="str">
        <f t="shared" si="12"/>
        <v/>
      </c>
      <c r="U114" s="139">
        <v>4521</v>
      </c>
      <c r="V114" s="139" t="s">
        <v>144</v>
      </c>
      <c r="X114" s="139" t="str">
        <f t="shared" si="13"/>
        <v>45</v>
      </c>
      <c r="Y114" s="139" t="str">
        <f t="shared" si="14"/>
        <v>452</v>
      </c>
      <c r="AA114" s="139" t="s">
        <v>1453</v>
      </c>
      <c r="AB114" s="139" t="s">
        <v>1454</v>
      </c>
    </row>
    <row r="115" spans="1:28">
      <c r="A115" s="149"/>
      <c r="B115" s="144" t="str">
        <f t="shared" si="8"/>
        <v/>
      </c>
      <c r="C115" s="149"/>
      <c r="D115" s="144" t="str">
        <f t="shared" si="9"/>
        <v/>
      </c>
      <c r="E115" s="183"/>
      <c r="F115" s="144" t="str">
        <f t="shared" si="10"/>
        <v/>
      </c>
      <c r="G115" s="182"/>
      <c r="H115" s="182"/>
      <c r="I115" s="182"/>
      <c r="J115" s="198"/>
      <c r="K115" s="197"/>
      <c r="L115" s="197"/>
      <c r="M115" s="198"/>
      <c r="N115" s="198"/>
      <c r="P115" s="139" t="str">
        <f t="shared" si="11"/>
        <v/>
      </c>
      <c r="Q115" s="139" t="str">
        <f t="shared" si="12"/>
        <v/>
      </c>
      <c r="U115" s="139">
        <v>4531</v>
      </c>
      <c r="V115" s="139" t="s">
        <v>187</v>
      </c>
      <c r="X115" s="139" t="str">
        <f t="shared" si="13"/>
        <v>45</v>
      </c>
      <c r="Y115" s="139" t="str">
        <f t="shared" si="14"/>
        <v>453</v>
      </c>
      <c r="AA115" s="139" t="s">
        <v>1455</v>
      </c>
      <c r="AB115" s="139" t="s">
        <v>1456</v>
      </c>
    </row>
    <row r="116" spans="1:28">
      <c r="A116" s="149"/>
      <c r="B116" s="144" t="str">
        <f t="shared" si="8"/>
        <v/>
      </c>
      <c r="C116" s="149"/>
      <c r="D116" s="144" t="str">
        <f t="shared" si="9"/>
        <v/>
      </c>
      <c r="E116" s="183"/>
      <c r="F116" s="144" t="str">
        <f t="shared" si="10"/>
        <v/>
      </c>
      <c r="G116" s="182"/>
      <c r="H116" s="182"/>
      <c r="I116" s="182"/>
      <c r="J116" s="198"/>
      <c r="K116" s="197"/>
      <c r="L116" s="197"/>
      <c r="M116" s="198"/>
      <c r="N116" s="198"/>
      <c r="P116" s="139" t="str">
        <f t="shared" si="11"/>
        <v/>
      </c>
      <c r="Q116" s="139" t="str">
        <f t="shared" si="12"/>
        <v/>
      </c>
      <c r="U116" s="139">
        <v>4541</v>
      </c>
      <c r="V116" s="139" t="s">
        <v>139</v>
      </c>
      <c r="X116" s="139" t="str">
        <f t="shared" si="13"/>
        <v>45</v>
      </c>
      <c r="Y116" s="139" t="str">
        <f t="shared" si="14"/>
        <v>454</v>
      </c>
      <c r="AA116" s="139" t="s">
        <v>1457</v>
      </c>
      <c r="AB116" s="139" t="s">
        <v>1458</v>
      </c>
    </row>
    <row r="117" spans="1:28">
      <c r="A117" s="149"/>
      <c r="B117" s="144" t="str">
        <f t="shared" si="8"/>
        <v/>
      </c>
      <c r="C117" s="149"/>
      <c r="D117" s="144" t="str">
        <f t="shared" si="9"/>
        <v/>
      </c>
      <c r="E117" s="183"/>
      <c r="F117" s="144" t="str">
        <f t="shared" si="10"/>
        <v/>
      </c>
      <c r="G117" s="182"/>
      <c r="H117" s="182"/>
      <c r="I117" s="182"/>
      <c r="J117" s="198"/>
      <c r="K117" s="197"/>
      <c r="L117" s="197"/>
      <c r="M117" s="198"/>
      <c r="N117" s="198"/>
      <c r="P117" s="139" t="str">
        <f t="shared" si="11"/>
        <v/>
      </c>
      <c r="Q117" s="139" t="str">
        <f t="shared" si="12"/>
        <v/>
      </c>
      <c r="U117" s="139">
        <v>5121</v>
      </c>
      <c r="V117" s="139" t="s">
        <v>195</v>
      </c>
      <c r="X117" s="139" t="str">
        <f t="shared" si="13"/>
        <v>51</v>
      </c>
      <c r="Y117" s="139" t="str">
        <f t="shared" si="14"/>
        <v>512</v>
      </c>
      <c r="AA117" s="139" t="s">
        <v>1459</v>
      </c>
      <c r="AB117" s="139" t="s">
        <v>1460</v>
      </c>
    </row>
    <row r="118" spans="1:28">
      <c r="A118" s="149"/>
      <c r="B118" s="144" t="str">
        <f t="shared" si="8"/>
        <v/>
      </c>
      <c r="C118" s="149"/>
      <c r="D118" s="144" t="str">
        <f t="shared" si="9"/>
        <v/>
      </c>
      <c r="E118" s="183"/>
      <c r="F118" s="144" t="str">
        <f t="shared" si="10"/>
        <v/>
      </c>
      <c r="G118" s="182"/>
      <c r="H118" s="182"/>
      <c r="I118" s="182"/>
      <c r="J118" s="198"/>
      <c r="K118" s="197"/>
      <c r="L118" s="197"/>
      <c r="M118" s="198"/>
      <c r="N118" s="198"/>
      <c r="P118" s="139" t="str">
        <f t="shared" si="11"/>
        <v/>
      </c>
      <c r="Q118" s="139" t="str">
        <f t="shared" si="12"/>
        <v/>
      </c>
      <c r="U118" s="139">
        <v>5443</v>
      </c>
      <c r="V118" s="139" t="s">
        <v>171</v>
      </c>
      <c r="X118" s="139" t="str">
        <f t="shared" si="13"/>
        <v>54</v>
      </c>
      <c r="Y118" s="139" t="str">
        <f t="shared" si="14"/>
        <v>544</v>
      </c>
      <c r="AA118" s="139" t="s">
        <v>1461</v>
      </c>
      <c r="AB118" s="139" t="s">
        <v>1462</v>
      </c>
    </row>
    <row r="119" spans="1:28">
      <c r="A119" s="149"/>
      <c r="B119" s="144" t="str">
        <f t="shared" si="8"/>
        <v/>
      </c>
      <c r="C119" s="149"/>
      <c r="D119" s="144" t="str">
        <f t="shared" si="9"/>
        <v/>
      </c>
      <c r="E119" s="183"/>
      <c r="F119" s="144" t="str">
        <f t="shared" si="10"/>
        <v/>
      </c>
      <c r="G119" s="182"/>
      <c r="H119" s="182"/>
      <c r="I119" s="182"/>
      <c r="J119" s="198"/>
      <c r="K119" s="197"/>
      <c r="L119" s="197"/>
      <c r="M119" s="198"/>
      <c r="N119" s="198"/>
      <c r="P119" s="139" t="str">
        <f t="shared" si="11"/>
        <v/>
      </c>
      <c r="Q119" s="139" t="str">
        <f t="shared" si="12"/>
        <v/>
      </c>
      <c r="U119" s="139">
        <v>5121</v>
      </c>
      <c r="V119" s="139" t="s">
        <v>740</v>
      </c>
      <c r="X119" s="139" t="str">
        <f t="shared" si="13"/>
        <v>51</v>
      </c>
      <c r="Y119" s="139" t="str">
        <f t="shared" si="14"/>
        <v>512</v>
      </c>
      <c r="AA119" s="139" t="s">
        <v>1463</v>
      </c>
      <c r="AB119" s="139" t="s">
        <v>1464</v>
      </c>
    </row>
    <row r="120" spans="1:28">
      <c r="A120" s="149"/>
      <c r="B120" s="144" t="str">
        <f t="shared" si="8"/>
        <v/>
      </c>
      <c r="C120" s="149"/>
      <c r="D120" s="144" t="str">
        <f t="shared" si="9"/>
        <v/>
      </c>
      <c r="E120" s="183"/>
      <c r="F120" s="144" t="str">
        <f t="shared" si="10"/>
        <v/>
      </c>
      <c r="G120" s="182"/>
      <c r="H120" s="182"/>
      <c r="I120" s="182"/>
      <c r="J120" s="198"/>
      <c r="K120" s="197"/>
      <c r="L120" s="197"/>
      <c r="M120" s="198"/>
      <c r="N120" s="198"/>
      <c r="P120" s="139" t="str">
        <f t="shared" si="11"/>
        <v/>
      </c>
      <c r="Q120" s="139" t="str">
        <f t="shared" si="12"/>
        <v/>
      </c>
      <c r="U120" s="139">
        <v>5122</v>
      </c>
      <c r="V120" s="139" t="s">
        <v>741</v>
      </c>
      <c r="X120" s="139" t="str">
        <f t="shared" si="13"/>
        <v>51</v>
      </c>
      <c r="Y120" s="139" t="str">
        <f t="shared" si="14"/>
        <v>512</v>
      </c>
      <c r="AA120" s="139" t="s">
        <v>1465</v>
      </c>
      <c r="AB120" s="139" t="s">
        <v>1466</v>
      </c>
    </row>
    <row r="121" spans="1:28">
      <c r="A121" s="149"/>
      <c r="B121" s="144" t="str">
        <f t="shared" si="8"/>
        <v/>
      </c>
      <c r="C121" s="149"/>
      <c r="D121" s="144" t="str">
        <f t="shared" si="9"/>
        <v/>
      </c>
      <c r="E121" s="183"/>
      <c r="F121" s="144" t="str">
        <f t="shared" si="10"/>
        <v/>
      </c>
      <c r="G121" s="182"/>
      <c r="H121" s="182"/>
      <c r="I121" s="182"/>
      <c r="J121" s="198"/>
      <c r="K121" s="197"/>
      <c r="L121" s="197"/>
      <c r="M121" s="198"/>
      <c r="N121" s="198"/>
      <c r="P121" s="139" t="str">
        <f t="shared" si="11"/>
        <v/>
      </c>
      <c r="Q121" s="139" t="str">
        <f t="shared" si="12"/>
        <v/>
      </c>
      <c r="U121" s="139">
        <v>5141</v>
      </c>
      <c r="V121" s="139" t="s">
        <v>742</v>
      </c>
      <c r="X121" s="139" t="str">
        <f t="shared" si="13"/>
        <v>51</v>
      </c>
      <c r="Y121" s="139" t="str">
        <f t="shared" si="14"/>
        <v>514</v>
      </c>
      <c r="AA121" s="139" t="s">
        <v>1467</v>
      </c>
      <c r="AB121" s="139" t="s">
        <v>1468</v>
      </c>
    </row>
    <row r="122" spans="1:28">
      <c r="A122" s="149"/>
      <c r="B122" s="144" t="str">
        <f t="shared" si="8"/>
        <v/>
      </c>
      <c r="C122" s="149"/>
      <c r="D122" s="144" t="str">
        <f t="shared" si="9"/>
        <v/>
      </c>
      <c r="E122" s="183"/>
      <c r="F122" s="144" t="str">
        <f t="shared" si="10"/>
        <v/>
      </c>
      <c r="G122" s="182"/>
      <c r="H122" s="182"/>
      <c r="I122" s="182"/>
      <c r="J122" s="198"/>
      <c r="K122" s="197"/>
      <c r="L122" s="197"/>
      <c r="M122" s="198"/>
      <c r="N122" s="198"/>
      <c r="P122" s="139" t="str">
        <f t="shared" si="11"/>
        <v/>
      </c>
      <c r="Q122" s="139" t="str">
        <f t="shared" si="12"/>
        <v/>
      </c>
      <c r="U122" s="139">
        <v>5181</v>
      </c>
      <c r="V122" s="139" t="s">
        <v>743</v>
      </c>
      <c r="X122" s="139" t="str">
        <f t="shared" si="13"/>
        <v>51</v>
      </c>
      <c r="Y122" s="139" t="str">
        <f t="shared" si="14"/>
        <v>518</v>
      </c>
      <c r="AA122" s="139" t="s">
        <v>1469</v>
      </c>
      <c r="AB122" s="139" t="s">
        <v>1470</v>
      </c>
    </row>
    <row r="123" spans="1:28">
      <c r="A123" s="149"/>
      <c r="B123" s="144" t="str">
        <f t="shared" si="8"/>
        <v/>
      </c>
      <c r="C123" s="149"/>
      <c r="D123" s="144" t="str">
        <f t="shared" si="9"/>
        <v/>
      </c>
      <c r="E123" s="183"/>
      <c r="F123" s="144" t="str">
        <f t="shared" si="10"/>
        <v/>
      </c>
      <c r="G123" s="182"/>
      <c r="H123" s="182"/>
      <c r="I123" s="182"/>
      <c r="J123" s="198"/>
      <c r="K123" s="197"/>
      <c r="L123" s="197"/>
      <c r="M123" s="198"/>
      <c r="N123" s="198"/>
      <c r="P123" s="139" t="str">
        <f t="shared" si="11"/>
        <v/>
      </c>
      <c r="Q123" s="139" t="str">
        <f t="shared" si="12"/>
        <v/>
      </c>
      <c r="U123" s="139">
        <v>5183</v>
      </c>
      <c r="V123" s="139" t="s">
        <v>744</v>
      </c>
      <c r="X123" s="139" t="str">
        <f t="shared" si="13"/>
        <v>51</v>
      </c>
      <c r="Y123" s="139" t="str">
        <f t="shared" si="14"/>
        <v>518</v>
      </c>
      <c r="AA123" s="139" t="s">
        <v>1471</v>
      </c>
      <c r="AB123" s="139" t="s">
        <v>1472</v>
      </c>
    </row>
    <row r="124" spans="1:28">
      <c r="A124" s="149"/>
      <c r="B124" s="144" t="str">
        <f t="shared" si="8"/>
        <v/>
      </c>
      <c r="C124" s="149"/>
      <c r="D124" s="144" t="str">
        <f t="shared" si="9"/>
        <v/>
      </c>
      <c r="E124" s="183"/>
      <c r="F124" s="144" t="str">
        <f t="shared" si="10"/>
        <v/>
      </c>
      <c r="G124" s="182"/>
      <c r="H124" s="182"/>
      <c r="I124" s="182"/>
      <c r="J124" s="198"/>
      <c r="K124" s="197"/>
      <c r="L124" s="197"/>
      <c r="M124" s="198"/>
      <c r="N124" s="198"/>
      <c r="P124" s="139" t="str">
        <f t="shared" si="11"/>
        <v/>
      </c>
      <c r="Q124" s="139" t="str">
        <f t="shared" si="12"/>
        <v/>
      </c>
      <c r="U124" s="139">
        <v>5422</v>
      </c>
      <c r="V124" s="139" t="s">
        <v>745</v>
      </c>
      <c r="X124" s="139" t="str">
        <f t="shared" si="13"/>
        <v>54</v>
      </c>
      <c r="Y124" s="139" t="str">
        <f t="shared" si="14"/>
        <v>542</v>
      </c>
      <c r="AA124" s="139" t="s">
        <v>1473</v>
      </c>
      <c r="AB124" s="139" t="s">
        <v>1474</v>
      </c>
    </row>
    <row r="125" spans="1:28">
      <c r="A125" s="149"/>
      <c r="B125" s="144" t="str">
        <f t="shared" si="8"/>
        <v/>
      </c>
      <c r="C125" s="149"/>
      <c r="D125" s="144" t="str">
        <f t="shared" si="9"/>
        <v/>
      </c>
      <c r="E125" s="183"/>
      <c r="F125" s="144" t="str">
        <f t="shared" si="10"/>
        <v/>
      </c>
      <c r="G125" s="182"/>
      <c r="H125" s="182"/>
      <c r="I125" s="182"/>
      <c r="J125" s="198"/>
      <c r="K125" s="197"/>
      <c r="L125" s="197"/>
      <c r="M125" s="198"/>
      <c r="N125" s="198"/>
      <c r="P125" s="139" t="str">
        <f t="shared" si="11"/>
        <v/>
      </c>
      <c r="Q125" s="139" t="str">
        <f t="shared" si="12"/>
        <v/>
      </c>
      <c r="U125" s="139">
        <v>5431</v>
      </c>
      <c r="V125" s="139" t="s">
        <v>356</v>
      </c>
      <c r="X125" s="139" t="str">
        <f t="shared" si="13"/>
        <v>54</v>
      </c>
      <c r="Y125" s="139" t="str">
        <f t="shared" si="14"/>
        <v>543</v>
      </c>
      <c r="AA125" s="139" t="s">
        <v>1475</v>
      </c>
      <c r="AB125" s="139" t="s">
        <v>1476</v>
      </c>
    </row>
    <row r="126" spans="1:28">
      <c r="A126" s="149"/>
      <c r="B126" s="144" t="str">
        <f t="shared" si="8"/>
        <v/>
      </c>
      <c r="C126" s="149"/>
      <c r="D126" s="144" t="str">
        <f t="shared" si="9"/>
        <v/>
      </c>
      <c r="E126" s="183"/>
      <c r="F126" s="144" t="str">
        <f t="shared" si="10"/>
        <v/>
      </c>
      <c r="G126" s="182"/>
      <c r="H126" s="182"/>
      <c r="I126" s="182"/>
      <c r="J126" s="198"/>
      <c r="K126" s="197"/>
      <c r="L126" s="197"/>
      <c r="M126" s="198"/>
      <c r="N126" s="198"/>
      <c r="P126" s="139" t="str">
        <f t="shared" si="11"/>
        <v/>
      </c>
      <c r="Q126" s="139" t="str">
        <f t="shared" si="12"/>
        <v/>
      </c>
      <c r="U126" s="139">
        <v>5443</v>
      </c>
      <c r="V126" s="139" t="s">
        <v>746</v>
      </c>
      <c r="X126" s="139" t="str">
        <f t="shared" si="13"/>
        <v>54</v>
      </c>
      <c r="Y126" s="139" t="str">
        <f t="shared" si="14"/>
        <v>544</v>
      </c>
      <c r="AA126" s="139" t="s">
        <v>1477</v>
      </c>
      <c r="AB126" s="139" t="s">
        <v>1478</v>
      </c>
    </row>
    <row r="127" spans="1:28">
      <c r="A127" s="149"/>
      <c r="B127" s="144" t="str">
        <f t="shared" si="8"/>
        <v/>
      </c>
      <c r="C127" s="149"/>
      <c r="D127" s="144" t="str">
        <f t="shared" si="9"/>
        <v/>
      </c>
      <c r="E127" s="183"/>
      <c r="F127" s="144" t="str">
        <f t="shared" si="10"/>
        <v/>
      </c>
      <c r="G127" s="182"/>
      <c r="H127" s="182"/>
      <c r="I127" s="182"/>
      <c r="J127" s="198"/>
      <c r="K127" s="197"/>
      <c r="L127" s="197"/>
      <c r="M127" s="198"/>
      <c r="N127" s="198"/>
      <c r="P127" s="139" t="str">
        <f t="shared" si="11"/>
        <v/>
      </c>
      <c r="Q127" s="139" t="str">
        <f t="shared" si="12"/>
        <v/>
      </c>
      <c r="U127" s="139">
        <v>5445</v>
      </c>
      <c r="V127" s="139" t="s">
        <v>747</v>
      </c>
      <c r="X127" s="139" t="str">
        <f t="shared" si="13"/>
        <v>54</v>
      </c>
      <c r="Y127" s="139" t="str">
        <f t="shared" si="14"/>
        <v>544</v>
      </c>
      <c r="AA127" s="139" t="s">
        <v>1479</v>
      </c>
      <c r="AB127" s="139" t="s">
        <v>1480</v>
      </c>
    </row>
    <row r="128" spans="1:28">
      <c r="A128" s="149"/>
      <c r="B128" s="144" t="str">
        <f t="shared" si="8"/>
        <v/>
      </c>
      <c r="C128" s="149"/>
      <c r="D128" s="144" t="str">
        <f t="shared" si="9"/>
        <v/>
      </c>
      <c r="E128" s="183"/>
      <c r="F128" s="144" t="str">
        <f t="shared" si="10"/>
        <v/>
      </c>
      <c r="G128" s="182"/>
      <c r="H128" s="182"/>
      <c r="I128" s="182"/>
      <c r="J128" s="198"/>
      <c r="K128" s="197"/>
      <c r="L128" s="197"/>
      <c r="M128" s="198"/>
      <c r="N128" s="198"/>
      <c r="P128" s="139" t="str">
        <f t="shared" si="11"/>
        <v/>
      </c>
      <c r="Q128" s="139" t="str">
        <f t="shared" si="12"/>
        <v/>
      </c>
      <c r="U128" s="139">
        <v>5453</v>
      </c>
      <c r="V128" s="139" t="s">
        <v>748</v>
      </c>
      <c r="X128" s="139" t="str">
        <f t="shared" si="13"/>
        <v>54</v>
      </c>
      <c r="Y128" s="139" t="str">
        <f t="shared" si="14"/>
        <v>545</v>
      </c>
      <c r="AA128" s="139" t="s">
        <v>1481</v>
      </c>
      <c r="AB128" s="139" t="s">
        <v>1482</v>
      </c>
    </row>
    <row r="129" spans="1:28">
      <c r="A129" s="149"/>
      <c r="B129" s="144" t="str">
        <f t="shared" si="8"/>
        <v/>
      </c>
      <c r="C129" s="149"/>
      <c r="D129" s="144" t="str">
        <f t="shared" si="9"/>
        <v/>
      </c>
      <c r="E129" s="183"/>
      <c r="F129" s="144" t="str">
        <f t="shared" si="10"/>
        <v/>
      </c>
      <c r="G129" s="182"/>
      <c r="H129" s="182"/>
      <c r="I129" s="182"/>
      <c r="J129" s="198"/>
      <c r="K129" s="197"/>
      <c r="L129" s="197"/>
      <c r="M129" s="198"/>
      <c r="N129" s="198"/>
      <c r="P129" s="139" t="str">
        <f t="shared" si="11"/>
        <v/>
      </c>
      <c r="Q129" s="139" t="str">
        <f t="shared" si="12"/>
        <v/>
      </c>
      <c r="U129" s="139">
        <v>5472</v>
      </c>
      <c r="V129" s="139" t="s">
        <v>749</v>
      </c>
      <c r="X129" s="139" t="str">
        <f t="shared" si="13"/>
        <v>54</v>
      </c>
      <c r="Y129" s="139" t="str">
        <f t="shared" si="14"/>
        <v>547</v>
      </c>
      <c r="AA129" s="139" t="s">
        <v>1483</v>
      </c>
      <c r="AB129" s="139" t="s">
        <v>1484</v>
      </c>
    </row>
    <row r="130" spans="1:28">
      <c r="A130" s="149"/>
      <c r="B130" s="144" t="str">
        <f t="shared" si="8"/>
        <v/>
      </c>
      <c r="C130" s="149"/>
      <c r="D130" s="144" t="str">
        <f t="shared" si="9"/>
        <v/>
      </c>
      <c r="E130" s="183"/>
      <c r="F130" s="144" t="str">
        <f t="shared" si="10"/>
        <v/>
      </c>
      <c r="G130" s="182"/>
      <c r="H130" s="182"/>
      <c r="I130" s="182"/>
      <c r="J130" s="198"/>
      <c r="K130" s="197"/>
      <c r="L130" s="197"/>
      <c r="M130" s="198"/>
      <c r="N130" s="198"/>
      <c r="P130" s="139" t="str">
        <f t="shared" si="11"/>
        <v/>
      </c>
      <c r="Q130" s="139" t="str">
        <f t="shared" si="12"/>
        <v/>
      </c>
      <c r="AA130" s="139" t="s">
        <v>1485</v>
      </c>
      <c r="AB130" s="139" t="s">
        <v>1486</v>
      </c>
    </row>
    <row r="131" spans="1:28">
      <c r="A131" s="149"/>
      <c r="B131" s="144" t="str">
        <f t="shared" si="8"/>
        <v/>
      </c>
      <c r="C131" s="149"/>
      <c r="D131" s="144" t="str">
        <f t="shared" si="9"/>
        <v/>
      </c>
      <c r="E131" s="183"/>
      <c r="F131" s="144" t="str">
        <f t="shared" si="10"/>
        <v/>
      </c>
      <c r="G131" s="182"/>
      <c r="H131" s="182"/>
      <c r="I131" s="182"/>
      <c r="J131" s="198"/>
      <c r="K131" s="197"/>
      <c r="L131" s="197"/>
      <c r="M131" s="198"/>
      <c r="N131" s="198"/>
      <c r="P131" s="139" t="str">
        <f t="shared" si="11"/>
        <v/>
      </c>
      <c r="Q131" s="139" t="str">
        <f t="shared" si="12"/>
        <v/>
      </c>
      <c r="AA131" s="139" t="s">
        <v>1487</v>
      </c>
      <c r="AB131" s="139" t="s">
        <v>1488</v>
      </c>
    </row>
    <row r="132" spans="1:28">
      <c r="A132" s="149"/>
      <c r="B132" s="144" t="str">
        <f t="shared" ref="B132:B195" si="15">IFERROR(VLOOKUP(A132,$R$6:$S$23,2,FALSE),"")</f>
        <v/>
      </c>
      <c r="C132" s="149"/>
      <c r="D132" s="144" t="str">
        <f t="shared" ref="D132:D195" si="16">IFERROR(VLOOKUP(C132,$U$5:$W$129,2,FALSE),"")</f>
        <v/>
      </c>
      <c r="E132" s="183"/>
      <c r="F132" s="144" t="str">
        <f t="shared" ref="F132:F195" si="17">IFERROR(VLOOKUP(E132,$AA$6:$AB$1018,2,FALSE),"")</f>
        <v/>
      </c>
      <c r="G132" s="182"/>
      <c r="H132" s="182"/>
      <c r="I132" s="182"/>
      <c r="J132" s="198"/>
      <c r="K132" s="197"/>
      <c r="L132" s="197"/>
      <c r="M132" s="198"/>
      <c r="N132" s="198"/>
      <c r="P132" s="139" t="str">
        <f t="shared" ref="P132:P195" si="18">LEFT(C132,3)</f>
        <v/>
      </c>
      <c r="Q132" s="139" t="str">
        <f t="shared" ref="Q132:Q195" si="19">LEFT(C132,2)</f>
        <v/>
      </c>
      <c r="AA132" s="139" t="s">
        <v>1489</v>
      </c>
      <c r="AB132" s="139" t="s">
        <v>1490</v>
      </c>
    </row>
    <row r="133" spans="1:28">
      <c r="A133" s="149"/>
      <c r="B133" s="144" t="str">
        <f t="shared" si="15"/>
        <v/>
      </c>
      <c r="C133" s="149"/>
      <c r="D133" s="144" t="str">
        <f t="shared" si="16"/>
        <v/>
      </c>
      <c r="E133" s="183"/>
      <c r="F133" s="144" t="str">
        <f t="shared" si="17"/>
        <v/>
      </c>
      <c r="G133" s="182"/>
      <c r="H133" s="182"/>
      <c r="I133" s="182"/>
      <c r="J133" s="198"/>
      <c r="K133" s="197"/>
      <c r="L133" s="197"/>
      <c r="M133" s="198"/>
      <c r="N133" s="198"/>
      <c r="P133" s="139" t="str">
        <f t="shared" si="18"/>
        <v/>
      </c>
      <c r="Q133" s="139" t="str">
        <f t="shared" si="19"/>
        <v/>
      </c>
      <c r="AA133" s="139" t="s">
        <v>1491</v>
      </c>
      <c r="AB133" s="139" t="s">
        <v>1492</v>
      </c>
    </row>
    <row r="134" spans="1:28">
      <c r="A134" s="149"/>
      <c r="B134" s="144" t="str">
        <f t="shared" si="15"/>
        <v/>
      </c>
      <c r="C134" s="149"/>
      <c r="D134" s="144" t="str">
        <f t="shared" si="16"/>
        <v/>
      </c>
      <c r="E134" s="183"/>
      <c r="F134" s="144" t="str">
        <f t="shared" si="17"/>
        <v/>
      </c>
      <c r="G134" s="182"/>
      <c r="H134" s="182"/>
      <c r="I134" s="182"/>
      <c r="J134" s="198"/>
      <c r="K134" s="197"/>
      <c r="L134" s="197"/>
      <c r="M134" s="198"/>
      <c r="N134" s="198"/>
      <c r="P134" s="139" t="str">
        <f t="shared" si="18"/>
        <v/>
      </c>
      <c r="Q134" s="139" t="str">
        <f t="shared" si="19"/>
        <v/>
      </c>
      <c r="AA134" s="139" t="s">
        <v>1493</v>
      </c>
      <c r="AB134" s="139" t="s">
        <v>1494</v>
      </c>
    </row>
    <row r="135" spans="1:28">
      <c r="A135" s="149"/>
      <c r="B135" s="144" t="str">
        <f t="shared" si="15"/>
        <v/>
      </c>
      <c r="C135" s="149"/>
      <c r="D135" s="144" t="str">
        <f t="shared" si="16"/>
        <v/>
      </c>
      <c r="E135" s="183"/>
      <c r="F135" s="144" t="str">
        <f t="shared" si="17"/>
        <v/>
      </c>
      <c r="G135" s="182"/>
      <c r="H135" s="182"/>
      <c r="I135" s="182"/>
      <c r="J135" s="198"/>
      <c r="K135" s="197"/>
      <c r="L135" s="197"/>
      <c r="M135" s="198"/>
      <c r="N135" s="198"/>
      <c r="P135" s="139" t="str">
        <f t="shared" si="18"/>
        <v/>
      </c>
      <c r="Q135" s="139" t="str">
        <f t="shared" si="19"/>
        <v/>
      </c>
      <c r="AA135" s="139" t="s">
        <v>1495</v>
      </c>
      <c r="AB135" s="139" t="s">
        <v>1496</v>
      </c>
    </row>
    <row r="136" spans="1:28">
      <c r="A136" s="149"/>
      <c r="B136" s="144" t="str">
        <f t="shared" si="15"/>
        <v/>
      </c>
      <c r="C136" s="149"/>
      <c r="D136" s="144" t="str">
        <f t="shared" si="16"/>
        <v/>
      </c>
      <c r="E136" s="183"/>
      <c r="F136" s="144" t="str">
        <f t="shared" si="17"/>
        <v/>
      </c>
      <c r="G136" s="182"/>
      <c r="H136" s="182"/>
      <c r="I136" s="182"/>
      <c r="J136" s="198"/>
      <c r="K136" s="197"/>
      <c r="L136" s="197"/>
      <c r="M136" s="198"/>
      <c r="N136" s="198"/>
      <c r="P136" s="139" t="str">
        <f t="shared" si="18"/>
        <v/>
      </c>
      <c r="Q136" s="139" t="str">
        <f t="shared" si="19"/>
        <v/>
      </c>
      <c r="AA136" s="139" t="s">
        <v>1497</v>
      </c>
      <c r="AB136" s="139" t="s">
        <v>1498</v>
      </c>
    </row>
    <row r="137" spans="1:28">
      <c r="A137" s="149"/>
      <c r="B137" s="144" t="str">
        <f t="shared" si="15"/>
        <v/>
      </c>
      <c r="C137" s="149"/>
      <c r="D137" s="144" t="str">
        <f t="shared" si="16"/>
        <v/>
      </c>
      <c r="E137" s="183"/>
      <c r="F137" s="144" t="str">
        <f t="shared" si="17"/>
        <v/>
      </c>
      <c r="G137" s="182"/>
      <c r="H137" s="182"/>
      <c r="I137" s="182"/>
      <c r="J137" s="198"/>
      <c r="K137" s="197"/>
      <c r="L137" s="197"/>
      <c r="M137" s="198"/>
      <c r="N137" s="198"/>
      <c r="P137" s="139" t="str">
        <f t="shared" si="18"/>
        <v/>
      </c>
      <c r="Q137" s="139" t="str">
        <f t="shared" si="19"/>
        <v/>
      </c>
      <c r="AA137" s="139" t="s">
        <v>1499</v>
      </c>
      <c r="AB137" s="139" t="s">
        <v>1500</v>
      </c>
    </row>
    <row r="138" spans="1:28">
      <c r="A138" s="149"/>
      <c r="B138" s="144" t="str">
        <f t="shared" si="15"/>
        <v/>
      </c>
      <c r="C138" s="149"/>
      <c r="D138" s="144" t="str">
        <f t="shared" si="16"/>
        <v/>
      </c>
      <c r="E138" s="183"/>
      <c r="F138" s="144" t="str">
        <f t="shared" si="17"/>
        <v/>
      </c>
      <c r="G138" s="182"/>
      <c r="H138" s="182"/>
      <c r="I138" s="182"/>
      <c r="J138" s="198"/>
      <c r="K138" s="197"/>
      <c r="L138" s="197"/>
      <c r="M138" s="198"/>
      <c r="N138" s="198"/>
      <c r="P138" s="139" t="str">
        <f t="shared" si="18"/>
        <v/>
      </c>
      <c r="Q138" s="139" t="str">
        <f t="shared" si="19"/>
        <v/>
      </c>
      <c r="AA138" s="139" t="s">
        <v>1501</v>
      </c>
      <c r="AB138" s="139" t="s">
        <v>1502</v>
      </c>
    </row>
    <row r="139" spans="1:28">
      <c r="A139" s="149"/>
      <c r="B139" s="144" t="str">
        <f t="shared" si="15"/>
        <v/>
      </c>
      <c r="C139" s="149"/>
      <c r="D139" s="144" t="str">
        <f t="shared" si="16"/>
        <v/>
      </c>
      <c r="E139" s="183"/>
      <c r="F139" s="144" t="str">
        <f t="shared" si="17"/>
        <v/>
      </c>
      <c r="G139" s="182"/>
      <c r="H139" s="182"/>
      <c r="I139" s="182"/>
      <c r="J139" s="198"/>
      <c r="K139" s="197"/>
      <c r="L139" s="197"/>
      <c r="M139" s="198"/>
      <c r="N139" s="198"/>
      <c r="P139" s="139" t="str">
        <f t="shared" si="18"/>
        <v/>
      </c>
      <c r="Q139" s="139" t="str">
        <f t="shared" si="19"/>
        <v/>
      </c>
      <c r="AA139" s="139" t="s">
        <v>1503</v>
      </c>
      <c r="AB139" s="139" t="s">
        <v>1504</v>
      </c>
    </row>
    <row r="140" spans="1:28">
      <c r="A140" s="149"/>
      <c r="B140" s="144" t="str">
        <f t="shared" si="15"/>
        <v/>
      </c>
      <c r="C140" s="149"/>
      <c r="D140" s="144" t="str">
        <f t="shared" si="16"/>
        <v/>
      </c>
      <c r="E140" s="183"/>
      <c r="F140" s="144" t="str">
        <f t="shared" si="17"/>
        <v/>
      </c>
      <c r="G140" s="182"/>
      <c r="H140" s="182"/>
      <c r="I140" s="182"/>
      <c r="J140" s="198"/>
      <c r="K140" s="197"/>
      <c r="L140" s="197"/>
      <c r="M140" s="198"/>
      <c r="N140" s="198"/>
      <c r="P140" s="139" t="str">
        <f t="shared" si="18"/>
        <v/>
      </c>
      <c r="Q140" s="139" t="str">
        <f t="shared" si="19"/>
        <v/>
      </c>
      <c r="AA140" s="139" t="s">
        <v>2307</v>
      </c>
      <c r="AB140" s="139" t="s">
        <v>2308</v>
      </c>
    </row>
    <row r="141" spans="1:28">
      <c r="A141" s="149"/>
      <c r="B141" s="144" t="str">
        <f t="shared" si="15"/>
        <v/>
      </c>
      <c r="C141" s="149"/>
      <c r="D141" s="144" t="str">
        <f t="shared" si="16"/>
        <v/>
      </c>
      <c r="E141" s="183"/>
      <c r="F141" s="144" t="str">
        <f t="shared" si="17"/>
        <v/>
      </c>
      <c r="G141" s="182"/>
      <c r="H141" s="182"/>
      <c r="I141" s="182"/>
      <c r="J141" s="198"/>
      <c r="K141" s="197"/>
      <c r="L141" s="197"/>
      <c r="M141" s="198"/>
      <c r="N141" s="198"/>
      <c r="P141" s="139" t="str">
        <f t="shared" si="18"/>
        <v/>
      </c>
      <c r="Q141" s="139" t="str">
        <f t="shared" si="19"/>
        <v/>
      </c>
      <c r="AA141" s="139" t="s">
        <v>2309</v>
      </c>
      <c r="AB141" s="139" t="s">
        <v>2310</v>
      </c>
    </row>
    <row r="142" spans="1:28">
      <c r="A142" s="149"/>
      <c r="B142" s="144" t="str">
        <f t="shared" si="15"/>
        <v/>
      </c>
      <c r="C142" s="149"/>
      <c r="D142" s="144" t="str">
        <f t="shared" si="16"/>
        <v/>
      </c>
      <c r="E142" s="183"/>
      <c r="F142" s="144" t="str">
        <f t="shared" si="17"/>
        <v/>
      </c>
      <c r="G142" s="182"/>
      <c r="H142" s="182"/>
      <c r="I142" s="182"/>
      <c r="J142" s="198"/>
      <c r="K142" s="197"/>
      <c r="L142" s="197"/>
      <c r="M142" s="198"/>
      <c r="N142" s="198"/>
      <c r="P142" s="139" t="str">
        <f t="shared" si="18"/>
        <v/>
      </c>
      <c r="Q142" s="139" t="str">
        <f t="shared" si="19"/>
        <v/>
      </c>
      <c r="AA142" s="139" t="s">
        <v>2311</v>
      </c>
      <c r="AB142" s="139" t="s">
        <v>2312</v>
      </c>
    </row>
    <row r="143" spans="1:28">
      <c r="A143" s="149"/>
      <c r="B143" s="144" t="str">
        <f t="shared" si="15"/>
        <v/>
      </c>
      <c r="C143" s="149"/>
      <c r="D143" s="144" t="str">
        <f t="shared" si="16"/>
        <v/>
      </c>
      <c r="E143" s="183"/>
      <c r="F143" s="144" t="str">
        <f t="shared" si="17"/>
        <v/>
      </c>
      <c r="G143" s="182"/>
      <c r="H143" s="182"/>
      <c r="I143" s="182"/>
      <c r="J143" s="198"/>
      <c r="K143" s="197"/>
      <c r="L143" s="197"/>
      <c r="M143" s="198"/>
      <c r="N143" s="198"/>
      <c r="P143" s="139" t="str">
        <f t="shared" si="18"/>
        <v/>
      </c>
      <c r="Q143" s="139" t="str">
        <f t="shared" si="19"/>
        <v/>
      </c>
      <c r="AA143" s="139" t="s">
        <v>2313</v>
      </c>
      <c r="AB143" s="139" t="s">
        <v>2314</v>
      </c>
    </row>
    <row r="144" spans="1:28">
      <c r="A144" s="149"/>
      <c r="B144" s="144" t="str">
        <f t="shared" si="15"/>
        <v/>
      </c>
      <c r="C144" s="149"/>
      <c r="D144" s="144" t="str">
        <f t="shared" si="16"/>
        <v/>
      </c>
      <c r="E144" s="183"/>
      <c r="F144" s="144" t="str">
        <f t="shared" si="17"/>
        <v/>
      </c>
      <c r="G144" s="182"/>
      <c r="H144" s="182"/>
      <c r="I144" s="182"/>
      <c r="J144" s="198"/>
      <c r="K144" s="197"/>
      <c r="L144" s="197"/>
      <c r="M144" s="198"/>
      <c r="N144" s="198"/>
      <c r="P144" s="139" t="str">
        <f t="shared" si="18"/>
        <v/>
      </c>
      <c r="Q144" s="139" t="str">
        <f t="shared" si="19"/>
        <v/>
      </c>
      <c r="AA144" s="139" t="s">
        <v>2315</v>
      </c>
      <c r="AB144" s="139" t="s">
        <v>2316</v>
      </c>
    </row>
    <row r="145" spans="1:28">
      <c r="A145" s="149"/>
      <c r="B145" s="144" t="str">
        <f t="shared" si="15"/>
        <v/>
      </c>
      <c r="C145" s="149"/>
      <c r="D145" s="144" t="str">
        <f t="shared" si="16"/>
        <v/>
      </c>
      <c r="E145" s="183"/>
      <c r="F145" s="144" t="str">
        <f t="shared" si="17"/>
        <v/>
      </c>
      <c r="G145" s="182"/>
      <c r="H145" s="182"/>
      <c r="I145" s="182"/>
      <c r="J145" s="198"/>
      <c r="K145" s="197"/>
      <c r="L145" s="197"/>
      <c r="M145" s="198"/>
      <c r="N145" s="198"/>
      <c r="P145" s="139" t="str">
        <f t="shared" si="18"/>
        <v/>
      </c>
      <c r="Q145" s="139" t="str">
        <f t="shared" si="19"/>
        <v/>
      </c>
      <c r="AA145" s="139" t="s">
        <v>2317</v>
      </c>
      <c r="AB145" s="139" t="s">
        <v>2318</v>
      </c>
    </row>
    <row r="146" spans="1:28">
      <c r="A146" s="149"/>
      <c r="B146" s="144" t="str">
        <f t="shared" si="15"/>
        <v/>
      </c>
      <c r="C146" s="149"/>
      <c r="D146" s="144" t="str">
        <f t="shared" si="16"/>
        <v/>
      </c>
      <c r="E146" s="183"/>
      <c r="F146" s="144" t="str">
        <f t="shared" si="17"/>
        <v/>
      </c>
      <c r="G146" s="182"/>
      <c r="H146" s="182"/>
      <c r="I146" s="182"/>
      <c r="J146" s="198"/>
      <c r="K146" s="197"/>
      <c r="L146" s="197"/>
      <c r="M146" s="198"/>
      <c r="N146" s="198"/>
      <c r="P146" s="139" t="str">
        <f t="shared" si="18"/>
        <v/>
      </c>
      <c r="Q146" s="139" t="str">
        <f t="shared" si="19"/>
        <v/>
      </c>
      <c r="AA146" s="139" t="s">
        <v>2319</v>
      </c>
      <c r="AB146" s="139" t="s">
        <v>2320</v>
      </c>
    </row>
    <row r="147" spans="1:28">
      <c r="A147" s="149"/>
      <c r="B147" s="144" t="str">
        <f t="shared" si="15"/>
        <v/>
      </c>
      <c r="C147" s="149"/>
      <c r="D147" s="144" t="str">
        <f t="shared" si="16"/>
        <v/>
      </c>
      <c r="E147" s="183"/>
      <c r="F147" s="144" t="str">
        <f t="shared" si="17"/>
        <v/>
      </c>
      <c r="G147" s="182"/>
      <c r="H147" s="182"/>
      <c r="I147" s="182"/>
      <c r="J147" s="198"/>
      <c r="K147" s="197"/>
      <c r="L147" s="197"/>
      <c r="M147" s="198"/>
      <c r="N147" s="198"/>
      <c r="P147" s="139" t="str">
        <f t="shared" si="18"/>
        <v/>
      </c>
      <c r="Q147" s="139" t="str">
        <f t="shared" si="19"/>
        <v/>
      </c>
      <c r="AA147" s="139" t="s">
        <v>2321</v>
      </c>
      <c r="AB147" s="139" t="s">
        <v>2322</v>
      </c>
    </row>
    <row r="148" spans="1:28">
      <c r="A148" s="149"/>
      <c r="B148" s="144" t="str">
        <f t="shared" si="15"/>
        <v/>
      </c>
      <c r="C148" s="149"/>
      <c r="D148" s="144" t="str">
        <f t="shared" si="16"/>
        <v/>
      </c>
      <c r="E148" s="183"/>
      <c r="F148" s="144" t="str">
        <f t="shared" si="17"/>
        <v/>
      </c>
      <c r="G148" s="182"/>
      <c r="H148" s="182"/>
      <c r="I148" s="182"/>
      <c r="J148" s="198"/>
      <c r="K148" s="197"/>
      <c r="L148" s="197"/>
      <c r="M148" s="198"/>
      <c r="N148" s="198"/>
      <c r="P148" s="139" t="str">
        <f t="shared" si="18"/>
        <v/>
      </c>
      <c r="Q148" s="139" t="str">
        <f t="shared" si="19"/>
        <v/>
      </c>
      <c r="AA148" s="139" t="s">
        <v>2323</v>
      </c>
      <c r="AB148" s="139" t="s">
        <v>2324</v>
      </c>
    </row>
    <row r="149" spans="1:28">
      <c r="A149" s="149"/>
      <c r="B149" s="144" t="str">
        <f t="shared" si="15"/>
        <v/>
      </c>
      <c r="C149" s="149"/>
      <c r="D149" s="144" t="str">
        <f t="shared" si="16"/>
        <v/>
      </c>
      <c r="E149" s="183"/>
      <c r="F149" s="144" t="str">
        <f t="shared" si="17"/>
        <v/>
      </c>
      <c r="G149" s="182"/>
      <c r="H149" s="182"/>
      <c r="I149" s="182"/>
      <c r="J149" s="198"/>
      <c r="K149" s="197"/>
      <c r="L149" s="197"/>
      <c r="M149" s="198"/>
      <c r="N149" s="198"/>
      <c r="P149" s="139" t="str">
        <f t="shared" si="18"/>
        <v/>
      </c>
      <c r="Q149" s="139" t="str">
        <f t="shared" si="19"/>
        <v/>
      </c>
      <c r="AA149" s="139" t="s">
        <v>2325</v>
      </c>
      <c r="AB149" s="139" t="s">
        <v>2326</v>
      </c>
    </row>
    <row r="150" spans="1:28">
      <c r="A150" s="149"/>
      <c r="B150" s="144" t="str">
        <f t="shared" si="15"/>
        <v/>
      </c>
      <c r="C150" s="149"/>
      <c r="D150" s="144" t="str">
        <f t="shared" si="16"/>
        <v/>
      </c>
      <c r="E150" s="183"/>
      <c r="F150" s="144" t="str">
        <f t="shared" si="17"/>
        <v/>
      </c>
      <c r="G150" s="182"/>
      <c r="H150" s="182"/>
      <c r="I150" s="182"/>
      <c r="J150" s="198"/>
      <c r="K150" s="197"/>
      <c r="L150" s="197"/>
      <c r="M150" s="198"/>
      <c r="N150" s="198"/>
      <c r="P150" s="139" t="str">
        <f t="shared" si="18"/>
        <v/>
      </c>
      <c r="Q150" s="139" t="str">
        <f t="shared" si="19"/>
        <v/>
      </c>
      <c r="AA150" s="139" t="s">
        <v>2327</v>
      </c>
      <c r="AB150" s="139" t="s">
        <v>2264</v>
      </c>
    </row>
    <row r="151" spans="1:28">
      <c r="A151" s="149"/>
      <c r="B151" s="144" t="str">
        <f t="shared" si="15"/>
        <v/>
      </c>
      <c r="C151" s="149"/>
      <c r="D151" s="144" t="str">
        <f t="shared" si="16"/>
        <v/>
      </c>
      <c r="E151" s="183"/>
      <c r="F151" s="144" t="str">
        <f t="shared" si="17"/>
        <v/>
      </c>
      <c r="G151" s="182"/>
      <c r="H151" s="182"/>
      <c r="I151" s="182"/>
      <c r="J151" s="198"/>
      <c r="K151" s="197"/>
      <c r="L151" s="197"/>
      <c r="M151" s="198"/>
      <c r="N151" s="198"/>
      <c r="P151" s="139" t="str">
        <f t="shared" si="18"/>
        <v/>
      </c>
      <c r="Q151" s="139" t="str">
        <f t="shared" si="19"/>
        <v/>
      </c>
      <c r="AA151" s="139" t="s">
        <v>2328</v>
      </c>
      <c r="AB151" s="139" t="s">
        <v>2329</v>
      </c>
    </row>
    <row r="152" spans="1:28">
      <c r="A152" s="149"/>
      <c r="B152" s="144" t="str">
        <f t="shared" si="15"/>
        <v/>
      </c>
      <c r="C152" s="149"/>
      <c r="D152" s="144" t="str">
        <f t="shared" si="16"/>
        <v/>
      </c>
      <c r="E152" s="183"/>
      <c r="F152" s="144" t="str">
        <f t="shared" si="17"/>
        <v/>
      </c>
      <c r="G152" s="182"/>
      <c r="H152" s="182"/>
      <c r="I152" s="182"/>
      <c r="J152" s="198"/>
      <c r="K152" s="197"/>
      <c r="L152" s="197"/>
      <c r="M152" s="198"/>
      <c r="N152" s="198"/>
      <c r="P152" s="139" t="str">
        <f t="shared" si="18"/>
        <v/>
      </c>
      <c r="Q152" s="139" t="str">
        <f t="shared" si="19"/>
        <v/>
      </c>
      <c r="AA152" s="139" t="s">
        <v>2330</v>
      </c>
      <c r="AB152" s="139" t="s">
        <v>2331</v>
      </c>
    </row>
    <row r="153" spans="1:28">
      <c r="A153" s="149"/>
      <c r="B153" s="144" t="str">
        <f t="shared" si="15"/>
        <v/>
      </c>
      <c r="C153" s="149"/>
      <c r="D153" s="144" t="str">
        <f t="shared" si="16"/>
        <v/>
      </c>
      <c r="E153" s="183"/>
      <c r="F153" s="144" t="str">
        <f t="shared" si="17"/>
        <v/>
      </c>
      <c r="G153" s="182"/>
      <c r="H153" s="182"/>
      <c r="I153" s="182"/>
      <c r="J153" s="198"/>
      <c r="K153" s="197"/>
      <c r="L153" s="197"/>
      <c r="M153" s="198"/>
      <c r="N153" s="198"/>
      <c r="P153" s="139" t="str">
        <f t="shared" si="18"/>
        <v/>
      </c>
      <c r="Q153" s="139" t="str">
        <f t="shared" si="19"/>
        <v/>
      </c>
      <c r="AA153" s="139" t="s">
        <v>2332</v>
      </c>
      <c r="AB153" s="139" t="s">
        <v>2333</v>
      </c>
    </row>
    <row r="154" spans="1:28">
      <c r="A154" s="149"/>
      <c r="B154" s="144" t="str">
        <f t="shared" si="15"/>
        <v/>
      </c>
      <c r="C154" s="149"/>
      <c r="D154" s="144" t="str">
        <f t="shared" si="16"/>
        <v/>
      </c>
      <c r="E154" s="183"/>
      <c r="F154" s="144" t="str">
        <f t="shared" si="17"/>
        <v/>
      </c>
      <c r="G154" s="182"/>
      <c r="H154" s="182"/>
      <c r="I154" s="182"/>
      <c r="J154" s="198"/>
      <c r="K154" s="197"/>
      <c r="L154" s="197"/>
      <c r="M154" s="198"/>
      <c r="N154" s="198"/>
      <c r="P154" s="139" t="str">
        <f t="shared" si="18"/>
        <v/>
      </c>
      <c r="Q154" s="139" t="str">
        <f t="shared" si="19"/>
        <v/>
      </c>
      <c r="AA154" s="139" t="s">
        <v>2334</v>
      </c>
      <c r="AB154" s="139" t="s">
        <v>2335</v>
      </c>
    </row>
    <row r="155" spans="1:28">
      <c r="A155" s="149"/>
      <c r="B155" s="144" t="str">
        <f t="shared" si="15"/>
        <v/>
      </c>
      <c r="C155" s="149"/>
      <c r="D155" s="144" t="str">
        <f t="shared" si="16"/>
        <v/>
      </c>
      <c r="E155" s="183"/>
      <c r="F155" s="144" t="str">
        <f t="shared" si="17"/>
        <v/>
      </c>
      <c r="G155" s="182"/>
      <c r="H155" s="182"/>
      <c r="I155" s="182"/>
      <c r="J155" s="198"/>
      <c r="K155" s="197"/>
      <c r="L155" s="197"/>
      <c r="M155" s="198"/>
      <c r="N155" s="198"/>
      <c r="P155" s="139" t="str">
        <f t="shared" si="18"/>
        <v/>
      </c>
      <c r="Q155" s="139" t="str">
        <f t="shared" si="19"/>
        <v/>
      </c>
      <c r="AA155" s="139" t="s">
        <v>2336</v>
      </c>
      <c r="AB155" s="139" t="s">
        <v>2337</v>
      </c>
    </row>
    <row r="156" spans="1:28">
      <c r="A156" s="149"/>
      <c r="B156" s="144" t="str">
        <f t="shared" si="15"/>
        <v/>
      </c>
      <c r="C156" s="149"/>
      <c r="D156" s="144" t="str">
        <f t="shared" si="16"/>
        <v/>
      </c>
      <c r="E156" s="183"/>
      <c r="F156" s="144" t="str">
        <f t="shared" si="17"/>
        <v/>
      </c>
      <c r="G156" s="182"/>
      <c r="H156" s="182"/>
      <c r="I156" s="182"/>
      <c r="J156" s="198"/>
      <c r="K156" s="197"/>
      <c r="L156" s="197"/>
      <c r="M156" s="198"/>
      <c r="N156" s="198"/>
      <c r="P156" s="139" t="str">
        <f t="shared" si="18"/>
        <v/>
      </c>
      <c r="Q156" s="139" t="str">
        <f t="shared" si="19"/>
        <v/>
      </c>
      <c r="AA156" s="139" t="s">
        <v>2338</v>
      </c>
      <c r="AB156" s="139" t="s">
        <v>2339</v>
      </c>
    </row>
    <row r="157" spans="1:28">
      <c r="A157" s="149"/>
      <c r="B157" s="144" t="str">
        <f t="shared" si="15"/>
        <v/>
      </c>
      <c r="C157" s="149"/>
      <c r="D157" s="144" t="str">
        <f t="shared" si="16"/>
        <v/>
      </c>
      <c r="E157" s="183"/>
      <c r="F157" s="144" t="str">
        <f t="shared" si="17"/>
        <v/>
      </c>
      <c r="G157" s="182"/>
      <c r="H157" s="182"/>
      <c r="I157" s="182"/>
      <c r="J157" s="198"/>
      <c r="K157" s="197"/>
      <c r="L157" s="197"/>
      <c r="M157" s="198"/>
      <c r="N157" s="198"/>
      <c r="P157" s="139" t="str">
        <f t="shared" si="18"/>
        <v/>
      </c>
      <c r="Q157" s="139" t="str">
        <f t="shared" si="19"/>
        <v/>
      </c>
      <c r="AA157" s="139" t="s">
        <v>2340</v>
      </c>
      <c r="AB157" s="139" t="s">
        <v>2341</v>
      </c>
    </row>
    <row r="158" spans="1:28">
      <c r="A158" s="149"/>
      <c r="B158" s="144" t="str">
        <f t="shared" si="15"/>
        <v/>
      </c>
      <c r="C158" s="149"/>
      <c r="D158" s="144" t="str">
        <f t="shared" si="16"/>
        <v/>
      </c>
      <c r="E158" s="183"/>
      <c r="F158" s="144" t="str">
        <f t="shared" si="17"/>
        <v/>
      </c>
      <c r="G158" s="182"/>
      <c r="H158" s="182"/>
      <c r="I158" s="182"/>
      <c r="J158" s="198"/>
      <c r="K158" s="197"/>
      <c r="L158" s="197"/>
      <c r="M158" s="198"/>
      <c r="N158" s="198"/>
      <c r="P158" s="139" t="str">
        <f t="shared" si="18"/>
        <v/>
      </c>
      <c r="Q158" s="139" t="str">
        <f t="shared" si="19"/>
        <v/>
      </c>
      <c r="AA158" s="139" t="s">
        <v>2342</v>
      </c>
      <c r="AB158" s="139" t="s">
        <v>2343</v>
      </c>
    </row>
    <row r="159" spans="1:28">
      <c r="A159" s="149"/>
      <c r="B159" s="144" t="str">
        <f t="shared" si="15"/>
        <v/>
      </c>
      <c r="C159" s="149"/>
      <c r="D159" s="144" t="str">
        <f t="shared" si="16"/>
        <v/>
      </c>
      <c r="E159" s="183"/>
      <c r="F159" s="144" t="str">
        <f t="shared" si="17"/>
        <v/>
      </c>
      <c r="G159" s="182"/>
      <c r="H159" s="182"/>
      <c r="I159" s="182"/>
      <c r="J159" s="198"/>
      <c r="K159" s="197"/>
      <c r="L159" s="197"/>
      <c r="M159" s="198"/>
      <c r="N159" s="198"/>
      <c r="P159" s="139" t="str">
        <f t="shared" si="18"/>
        <v/>
      </c>
      <c r="Q159" s="139" t="str">
        <f t="shared" si="19"/>
        <v/>
      </c>
      <c r="AA159" s="139" t="s">
        <v>2344</v>
      </c>
      <c r="AB159" s="139" t="s">
        <v>2345</v>
      </c>
    </row>
    <row r="160" spans="1:28">
      <c r="A160" s="149"/>
      <c r="B160" s="144" t="str">
        <f t="shared" si="15"/>
        <v/>
      </c>
      <c r="C160" s="149"/>
      <c r="D160" s="144" t="str">
        <f t="shared" si="16"/>
        <v/>
      </c>
      <c r="E160" s="183"/>
      <c r="F160" s="144" t="str">
        <f t="shared" si="17"/>
        <v/>
      </c>
      <c r="G160" s="182"/>
      <c r="H160" s="182"/>
      <c r="I160" s="182"/>
      <c r="J160" s="198"/>
      <c r="K160" s="197"/>
      <c r="L160" s="197"/>
      <c r="M160" s="198"/>
      <c r="N160" s="198"/>
      <c r="P160" s="139" t="str">
        <f t="shared" si="18"/>
        <v/>
      </c>
      <c r="Q160" s="139" t="str">
        <f t="shared" si="19"/>
        <v/>
      </c>
      <c r="AA160" s="139" t="s">
        <v>2346</v>
      </c>
      <c r="AB160" s="139" t="s">
        <v>2347</v>
      </c>
    </row>
    <row r="161" spans="1:28">
      <c r="A161" s="149"/>
      <c r="B161" s="144" t="str">
        <f t="shared" si="15"/>
        <v/>
      </c>
      <c r="C161" s="149"/>
      <c r="D161" s="144" t="str">
        <f t="shared" si="16"/>
        <v/>
      </c>
      <c r="E161" s="183"/>
      <c r="F161" s="144" t="str">
        <f t="shared" si="17"/>
        <v/>
      </c>
      <c r="G161" s="182"/>
      <c r="H161" s="182"/>
      <c r="I161" s="182"/>
      <c r="J161" s="198"/>
      <c r="K161" s="197"/>
      <c r="L161" s="197"/>
      <c r="M161" s="198"/>
      <c r="N161" s="198"/>
      <c r="P161" s="139" t="str">
        <f t="shared" si="18"/>
        <v/>
      </c>
      <c r="Q161" s="139" t="str">
        <f t="shared" si="19"/>
        <v/>
      </c>
      <c r="AA161" s="139" t="s">
        <v>2348</v>
      </c>
      <c r="AB161" s="139" t="s">
        <v>2349</v>
      </c>
    </row>
    <row r="162" spans="1:28">
      <c r="A162" s="149"/>
      <c r="B162" s="144" t="str">
        <f t="shared" si="15"/>
        <v/>
      </c>
      <c r="C162" s="149"/>
      <c r="D162" s="144" t="str">
        <f t="shared" si="16"/>
        <v/>
      </c>
      <c r="E162" s="183"/>
      <c r="F162" s="144" t="str">
        <f t="shared" si="17"/>
        <v/>
      </c>
      <c r="G162" s="182"/>
      <c r="H162" s="182"/>
      <c r="I162" s="182"/>
      <c r="J162" s="198"/>
      <c r="K162" s="197"/>
      <c r="L162" s="197"/>
      <c r="M162" s="198"/>
      <c r="N162" s="198"/>
      <c r="P162" s="139" t="str">
        <f t="shared" si="18"/>
        <v/>
      </c>
      <c r="Q162" s="139" t="str">
        <f t="shared" si="19"/>
        <v/>
      </c>
      <c r="AA162" s="139" t="s">
        <v>2350</v>
      </c>
      <c r="AB162" s="139" t="s">
        <v>2351</v>
      </c>
    </row>
    <row r="163" spans="1:28">
      <c r="A163" s="149"/>
      <c r="B163" s="144" t="str">
        <f t="shared" si="15"/>
        <v/>
      </c>
      <c r="C163" s="149"/>
      <c r="D163" s="144" t="str">
        <f t="shared" si="16"/>
        <v/>
      </c>
      <c r="E163" s="183"/>
      <c r="F163" s="144" t="str">
        <f t="shared" si="17"/>
        <v/>
      </c>
      <c r="G163" s="182"/>
      <c r="H163" s="182"/>
      <c r="I163" s="182"/>
      <c r="J163" s="198"/>
      <c r="K163" s="197"/>
      <c r="L163" s="197"/>
      <c r="M163" s="198"/>
      <c r="N163" s="198"/>
      <c r="P163" s="139" t="str">
        <f t="shared" si="18"/>
        <v/>
      </c>
      <c r="Q163" s="139" t="str">
        <f t="shared" si="19"/>
        <v/>
      </c>
      <c r="AA163" s="139" t="s">
        <v>2352</v>
      </c>
      <c r="AB163" s="139" t="s">
        <v>2353</v>
      </c>
    </row>
    <row r="164" spans="1:28">
      <c r="A164" s="149"/>
      <c r="B164" s="144" t="str">
        <f t="shared" si="15"/>
        <v/>
      </c>
      <c r="C164" s="149"/>
      <c r="D164" s="144" t="str">
        <f t="shared" si="16"/>
        <v/>
      </c>
      <c r="E164" s="183"/>
      <c r="F164" s="144" t="str">
        <f t="shared" si="17"/>
        <v/>
      </c>
      <c r="G164" s="182"/>
      <c r="H164" s="182"/>
      <c r="I164" s="182"/>
      <c r="J164" s="198"/>
      <c r="K164" s="197"/>
      <c r="L164" s="197"/>
      <c r="M164" s="198"/>
      <c r="N164" s="198"/>
      <c r="P164" s="139" t="str">
        <f t="shared" si="18"/>
        <v/>
      </c>
      <c r="Q164" s="139" t="str">
        <f t="shared" si="19"/>
        <v/>
      </c>
      <c r="AA164" s="139" t="s">
        <v>2354</v>
      </c>
      <c r="AB164" s="139" t="s">
        <v>2355</v>
      </c>
    </row>
    <row r="165" spans="1:28">
      <c r="A165" s="149"/>
      <c r="B165" s="144" t="str">
        <f t="shared" si="15"/>
        <v/>
      </c>
      <c r="C165" s="149"/>
      <c r="D165" s="144" t="str">
        <f t="shared" si="16"/>
        <v/>
      </c>
      <c r="E165" s="183"/>
      <c r="F165" s="144" t="str">
        <f t="shared" si="17"/>
        <v/>
      </c>
      <c r="G165" s="182"/>
      <c r="H165" s="182"/>
      <c r="I165" s="182"/>
      <c r="J165" s="198"/>
      <c r="K165" s="197"/>
      <c r="L165" s="197"/>
      <c r="M165" s="198"/>
      <c r="N165" s="198"/>
      <c r="P165" s="139" t="str">
        <f t="shared" si="18"/>
        <v/>
      </c>
      <c r="Q165" s="139" t="str">
        <f t="shared" si="19"/>
        <v/>
      </c>
      <c r="AA165" s="139" t="s">
        <v>2356</v>
      </c>
      <c r="AB165" s="139" t="s">
        <v>2357</v>
      </c>
    </row>
    <row r="166" spans="1:28">
      <c r="A166" s="149"/>
      <c r="B166" s="144" t="str">
        <f t="shared" si="15"/>
        <v/>
      </c>
      <c r="C166" s="149"/>
      <c r="D166" s="144" t="str">
        <f t="shared" si="16"/>
        <v/>
      </c>
      <c r="E166" s="183"/>
      <c r="F166" s="144" t="str">
        <f t="shared" si="17"/>
        <v/>
      </c>
      <c r="G166" s="182"/>
      <c r="H166" s="182"/>
      <c r="I166" s="182"/>
      <c r="J166" s="198"/>
      <c r="K166" s="197"/>
      <c r="L166" s="197"/>
      <c r="M166" s="198"/>
      <c r="N166" s="198"/>
      <c r="P166" s="139" t="str">
        <f t="shared" si="18"/>
        <v/>
      </c>
      <c r="Q166" s="139" t="str">
        <f t="shared" si="19"/>
        <v/>
      </c>
      <c r="AA166" s="139" t="s">
        <v>2358</v>
      </c>
      <c r="AB166" s="139" t="s">
        <v>2359</v>
      </c>
    </row>
    <row r="167" spans="1:28">
      <c r="A167" s="149"/>
      <c r="B167" s="144" t="str">
        <f t="shared" si="15"/>
        <v/>
      </c>
      <c r="C167" s="149"/>
      <c r="D167" s="144" t="str">
        <f t="shared" si="16"/>
        <v/>
      </c>
      <c r="E167" s="183"/>
      <c r="F167" s="144" t="str">
        <f t="shared" si="17"/>
        <v/>
      </c>
      <c r="G167" s="182"/>
      <c r="H167" s="182"/>
      <c r="I167" s="182"/>
      <c r="J167" s="198"/>
      <c r="K167" s="197"/>
      <c r="L167" s="197"/>
      <c r="M167" s="198"/>
      <c r="N167" s="198"/>
      <c r="P167" s="139" t="str">
        <f t="shared" si="18"/>
        <v/>
      </c>
      <c r="Q167" s="139" t="str">
        <f t="shared" si="19"/>
        <v/>
      </c>
      <c r="AA167" s="139" t="s">
        <v>2360</v>
      </c>
      <c r="AB167" s="139" t="s">
        <v>2361</v>
      </c>
    </row>
    <row r="168" spans="1:28">
      <c r="A168" s="149"/>
      <c r="B168" s="144" t="str">
        <f t="shared" si="15"/>
        <v/>
      </c>
      <c r="C168" s="149"/>
      <c r="D168" s="144" t="str">
        <f t="shared" si="16"/>
        <v/>
      </c>
      <c r="E168" s="183"/>
      <c r="F168" s="144" t="str">
        <f t="shared" si="17"/>
        <v/>
      </c>
      <c r="G168" s="182"/>
      <c r="H168" s="182"/>
      <c r="I168" s="182"/>
      <c r="J168" s="198"/>
      <c r="K168" s="197"/>
      <c r="L168" s="197"/>
      <c r="M168" s="198"/>
      <c r="N168" s="198"/>
      <c r="P168" s="139" t="str">
        <f t="shared" si="18"/>
        <v/>
      </c>
      <c r="Q168" s="139" t="str">
        <f t="shared" si="19"/>
        <v/>
      </c>
      <c r="AA168" s="139" t="s">
        <v>2362</v>
      </c>
      <c r="AB168" s="139" t="s">
        <v>2363</v>
      </c>
    </row>
    <row r="169" spans="1:28">
      <c r="A169" s="149"/>
      <c r="B169" s="144" t="str">
        <f t="shared" si="15"/>
        <v/>
      </c>
      <c r="C169" s="149"/>
      <c r="D169" s="144" t="str">
        <f t="shared" si="16"/>
        <v/>
      </c>
      <c r="E169" s="183"/>
      <c r="F169" s="144" t="str">
        <f t="shared" si="17"/>
        <v/>
      </c>
      <c r="G169" s="182"/>
      <c r="H169" s="182"/>
      <c r="I169" s="182"/>
      <c r="J169" s="198"/>
      <c r="K169" s="197"/>
      <c r="L169" s="197"/>
      <c r="M169" s="198"/>
      <c r="N169" s="198"/>
      <c r="P169" s="139" t="str">
        <f t="shared" si="18"/>
        <v/>
      </c>
      <c r="Q169" s="139" t="str">
        <f t="shared" si="19"/>
        <v/>
      </c>
      <c r="AA169" s="139" t="s">
        <v>2364</v>
      </c>
      <c r="AB169" s="139" t="s">
        <v>2365</v>
      </c>
    </row>
    <row r="170" spans="1:28">
      <c r="A170" s="149"/>
      <c r="B170" s="144" t="str">
        <f t="shared" si="15"/>
        <v/>
      </c>
      <c r="C170" s="149"/>
      <c r="D170" s="144" t="str">
        <f t="shared" si="16"/>
        <v/>
      </c>
      <c r="E170" s="183"/>
      <c r="F170" s="144" t="str">
        <f t="shared" si="17"/>
        <v/>
      </c>
      <c r="G170" s="182"/>
      <c r="H170" s="182"/>
      <c r="I170" s="182"/>
      <c r="J170" s="198"/>
      <c r="K170" s="197"/>
      <c r="L170" s="197"/>
      <c r="M170" s="198"/>
      <c r="N170" s="198"/>
      <c r="P170" s="139" t="str">
        <f t="shared" si="18"/>
        <v/>
      </c>
      <c r="Q170" s="139" t="str">
        <f t="shared" si="19"/>
        <v/>
      </c>
      <c r="AA170" s="139" t="s">
        <v>2366</v>
      </c>
      <c r="AB170" s="139" t="s">
        <v>2367</v>
      </c>
    </row>
    <row r="171" spans="1:28">
      <c r="A171" s="149"/>
      <c r="B171" s="144" t="str">
        <f t="shared" si="15"/>
        <v/>
      </c>
      <c r="C171" s="149"/>
      <c r="D171" s="144" t="str">
        <f t="shared" si="16"/>
        <v/>
      </c>
      <c r="E171" s="183"/>
      <c r="F171" s="144" t="str">
        <f t="shared" si="17"/>
        <v/>
      </c>
      <c r="G171" s="182"/>
      <c r="H171" s="182"/>
      <c r="I171" s="182"/>
      <c r="J171" s="198"/>
      <c r="K171" s="197"/>
      <c r="L171" s="197"/>
      <c r="M171" s="198"/>
      <c r="N171" s="198"/>
      <c r="P171" s="139" t="str">
        <f t="shared" si="18"/>
        <v/>
      </c>
      <c r="Q171" s="139" t="str">
        <f t="shared" si="19"/>
        <v/>
      </c>
      <c r="AA171" s="139" t="s">
        <v>2368</v>
      </c>
      <c r="AB171" s="139" t="s">
        <v>2369</v>
      </c>
    </row>
    <row r="172" spans="1:28">
      <c r="A172" s="149"/>
      <c r="B172" s="144" t="str">
        <f t="shared" si="15"/>
        <v/>
      </c>
      <c r="C172" s="149"/>
      <c r="D172" s="144" t="str">
        <f t="shared" si="16"/>
        <v/>
      </c>
      <c r="E172" s="183"/>
      <c r="F172" s="144" t="str">
        <f t="shared" si="17"/>
        <v/>
      </c>
      <c r="G172" s="182"/>
      <c r="H172" s="182"/>
      <c r="I172" s="182"/>
      <c r="J172" s="198"/>
      <c r="K172" s="197"/>
      <c r="L172" s="197"/>
      <c r="M172" s="198"/>
      <c r="N172" s="198"/>
      <c r="P172" s="139" t="str">
        <f t="shared" si="18"/>
        <v/>
      </c>
      <c r="Q172" s="139" t="str">
        <f t="shared" si="19"/>
        <v/>
      </c>
      <c r="AA172" s="139" t="s">
        <v>2370</v>
      </c>
      <c r="AB172" s="139" t="s">
        <v>2371</v>
      </c>
    </row>
    <row r="173" spans="1:28">
      <c r="A173" s="149"/>
      <c r="B173" s="144" t="str">
        <f t="shared" si="15"/>
        <v/>
      </c>
      <c r="C173" s="149"/>
      <c r="D173" s="144" t="str">
        <f t="shared" si="16"/>
        <v/>
      </c>
      <c r="E173" s="183"/>
      <c r="F173" s="144" t="str">
        <f t="shared" si="17"/>
        <v/>
      </c>
      <c r="G173" s="182"/>
      <c r="H173" s="182"/>
      <c r="I173" s="182"/>
      <c r="J173" s="198"/>
      <c r="K173" s="197"/>
      <c r="L173" s="197"/>
      <c r="M173" s="198"/>
      <c r="N173" s="198"/>
      <c r="P173" s="139" t="str">
        <f t="shared" si="18"/>
        <v/>
      </c>
      <c r="Q173" s="139" t="str">
        <f t="shared" si="19"/>
        <v/>
      </c>
      <c r="AA173" s="139" t="s">
        <v>2372</v>
      </c>
      <c r="AB173" s="139" t="s">
        <v>2373</v>
      </c>
    </row>
    <row r="174" spans="1:28">
      <c r="A174" s="149"/>
      <c r="B174" s="144" t="str">
        <f t="shared" si="15"/>
        <v/>
      </c>
      <c r="C174" s="149"/>
      <c r="D174" s="144" t="str">
        <f t="shared" si="16"/>
        <v/>
      </c>
      <c r="E174" s="183"/>
      <c r="F174" s="144" t="str">
        <f t="shared" si="17"/>
        <v/>
      </c>
      <c r="G174" s="182"/>
      <c r="H174" s="182"/>
      <c r="I174" s="182"/>
      <c r="J174" s="198"/>
      <c r="K174" s="197"/>
      <c r="L174" s="197"/>
      <c r="M174" s="198"/>
      <c r="N174" s="198"/>
      <c r="P174" s="139" t="str">
        <f t="shared" si="18"/>
        <v/>
      </c>
      <c r="Q174" s="139" t="str">
        <f t="shared" si="19"/>
        <v/>
      </c>
      <c r="AA174" s="139" t="s">
        <v>2374</v>
      </c>
      <c r="AB174" s="139" t="s">
        <v>2375</v>
      </c>
    </row>
    <row r="175" spans="1:28">
      <c r="A175" s="149"/>
      <c r="B175" s="144" t="str">
        <f t="shared" si="15"/>
        <v/>
      </c>
      <c r="C175" s="149"/>
      <c r="D175" s="144" t="str">
        <f t="shared" si="16"/>
        <v/>
      </c>
      <c r="E175" s="183"/>
      <c r="F175" s="144" t="str">
        <f t="shared" si="17"/>
        <v/>
      </c>
      <c r="G175" s="182"/>
      <c r="H175" s="182"/>
      <c r="I175" s="182"/>
      <c r="J175" s="198"/>
      <c r="K175" s="197"/>
      <c r="L175" s="197"/>
      <c r="M175" s="198"/>
      <c r="N175" s="198"/>
      <c r="P175" s="139" t="str">
        <f t="shared" si="18"/>
        <v/>
      </c>
      <c r="Q175" s="139" t="str">
        <f t="shared" si="19"/>
        <v/>
      </c>
      <c r="AA175" s="139" t="s">
        <v>2376</v>
      </c>
      <c r="AB175" s="139" t="s">
        <v>2377</v>
      </c>
    </row>
    <row r="176" spans="1:28">
      <c r="A176" s="149"/>
      <c r="B176" s="144" t="str">
        <f t="shared" si="15"/>
        <v/>
      </c>
      <c r="C176" s="149"/>
      <c r="D176" s="144" t="str">
        <f t="shared" si="16"/>
        <v/>
      </c>
      <c r="E176" s="183"/>
      <c r="F176" s="144" t="str">
        <f t="shared" si="17"/>
        <v/>
      </c>
      <c r="G176" s="182"/>
      <c r="H176" s="182"/>
      <c r="I176" s="182"/>
      <c r="J176" s="198"/>
      <c r="K176" s="197"/>
      <c r="L176" s="197"/>
      <c r="M176" s="198"/>
      <c r="N176" s="198"/>
      <c r="P176" s="139" t="str">
        <f t="shared" si="18"/>
        <v/>
      </c>
      <c r="Q176" s="139" t="str">
        <f t="shared" si="19"/>
        <v/>
      </c>
      <c r="AA176" s="139" t="s">
        <v>2378</v>
      </c>
      <c r="AB176" s="139" t="s">
        <v>2379</v>
      </c>
    </row>
    <row r="177" spans="1:28">
      <c r="A177" s="149"/>
      <c r="B177" s="144" t="str">
        <f t="shared" si="15"/>
        <v/>
      </c>
      <c r="C177" s="149"/>
      <c r="D177" s="144" t="str">
        <f t="shared" si="16"/>
        <v/>
      </c>
      <c r="E177" s="183"/>
      <c r="F177" s="144" t="str">
        <f t="shared" si="17"/>
        <v/>
      </c>
      <c r="G177" s="182"/>
      <c r="H177" s="182"/>
      <c r="I177" s="182"/>
      <c r="J177" s="198"/>
      <c r="K177" s="197"/>
      <c r="L177" s="197"/>
      <c r="M177" s="198"/>
      <c r="N177" s="198"/>
      <c r="P177" s="139" t="str">
        <f t="shared" si="18"/>
        <v/>
      </c>
      <c r="Q177" s="139" t="str">
        <f t="shared" si="19"/>
        <v/>
      </c>
      <c r="AA177" s="139" t="s">
        <v>2380</v>
      </c>
      <c r="AB177" s="139" t="s">
        <v>2381</v>
      </c>
    </row>
    <row r="178" spans="1:28">
      <c r="A178" s="149"/>
      <c r="B178" s="144" t="str">
        <f t="shared" si="15"/>
        <v/>
      </c>
      <c r="C178" s="149"/>
      <c r="D178" s="144" t="str">
        <f t="shared" si="16"/>
        <v/>
      </c>
      <c r="E178" s="183"/>
      <c r="F178" s="144" t="str">
        <f t="shared" si="17"/>
        <v/>
      </c>
      <c r="G178" s="182"/>
      <c r="H178" s="182"/>
      <c r="I178" s="182"/>
      <c r="J178" s="198"/>
      <c r="K178" s="197"/>
      <c r="L178" s="197"/>
      <c r="M178" s="198"/>
      <c r="N178" s="198"/>
      <c r="P178" s="139" t="str">
        <f t="shared" si="18"/>
        <v/>
      </c>
      <c r="Q178" s="139" t="str">
        <f t="shared" si="19"/>
        <v/>
      </c>
      <c r="AA178" s="139" t="s">
        <v>2382</v>
      </c>
      <c r="AB178" s="139" t="s">
        <v>2383</v>
      </c>
    </row>
    <row r="179" spans="1:28">
      <c r="A179" s="149"/>
      <c r="B179" s="144" t="str">
        <f t="shared" si="15"/>
        <v/>
      </c>
      <c r="C179" s="149"/>
      <c r="D179" s="144" t="str">
        <f t="shared" si="16"/>
        <v/>
      </c>
      <c r="E179" s="183"/>
      <c r="F179" s="144" t="str">
        <f t="shared" si="17"/>
        <v/>
      </c>
      <c r="G179" s="182"/>
      <c r="H179" s="182"/>
      <c r="I179" s="182"/>
      <c r="J179" s="198"/>
      <c r="K179" s="197"/>
      <c r="L179" s="197"/>
      <c r="M179" s="198"/>
      <c r="N179" s="198"/>
      <c r="P179" s="139" t="str">
        <f t="shared" si="18"/>
        <v/>
      </c>
      <c r="Q179" s="139" t="str">
        <f t="shared" si="19"/>
        <v/>
      </c>
      <c r="AA179" s="139" t="s">
        <v>2384</v>
      </c>
      <c r="AB179" s="139" t="s">
        <v>2385</v>
      </c>
    </row>
    <row r="180" spans="1:28">
      <c r="A180" s="149"/>
      <c r="B180" s="144" t="str">
        <f t="shared" si="15"/>
        <v/>
      </c>
      <c r="C180" s="149"/>
      <c r="D180" s="144" t="str">
        <f t="shared" si="16"/>
        <v/>
      </c>
      <c r="E180" s="183"/>
      <c r="F180" s="144" t="str">
        <f t="shared" si="17"/>
        <v/>
      </c>
      <c r="G180" s="182"/>
      <c r="H180" s="182"/>
      <c r="I180" s="182"/>
      <c r="J180" s="198"/>
      <c r="K180" s="197"/>
      <c r="L180" s="197"/>
      <c r="M180" s="198"/>
      <c r="N180" s="198"/>
      <c r="P180" s="139" t="str">
        <f t="shared" si="18"/>
        <v/>
      </c>
      <c r="Q180" s="139" t="str">
        <f t="shared" si="19"/>
        <v/>
      </c>
      <c r="AA180" s="139" t="s">
        <v>2386</v>
      </c>
      <c r="AB180" s="139" t="s">
        <v>2387</v>
      </c>
    </row>
    <row r="181" spans="1:28">
      <c r="A181" s="149"/>
      <c r="B181" s="144" t="str">
        <f t="shared" si="15"/>
        <v/>
      </c>
      <c r="C181" s="149"/>
      <c r="D181" s="144" t="str">
        <f t="shared" si="16"/>
        <v/>
      </c>
      <c r="E181" s="183"/>
      <c r="F181" s="144" t="str">
        <f t="shared" si="17"/>
        <v/>
      </c>
      <c r="G181" s="182"/>
      <c r="H181" s="182"/>
      <c r="I181" s="182"/>
      <c r="J181" s="198"/>
      <c r="K181" s="197"/>
      <c r="L181" s="197"/>
      <c r="M181" s="198"/>
      <c r="N181" s="198"/>
      <c r="P181" s="139" t="str">
        <f t="shared" si="18"/>
        <v/>
      </c>
      <c r="Q181" s="139" t="str">
        <f t="shared" si="19"/>
        <v/>
      </c>
      <c r="AA181" s="139" t="s">
        <v>2388</v>
      </c>
      <c r="AB181" s="139" t="s">
        <v>2389</v>
      </c>
    </row>
    <row r="182" spans="1:28">
      <c r="A182" s="149"/>
      <c r="B182" s="144" t="str">
        <f t="shared" si="15"/>
        <v/>
      </c>
      <c r="C182" s="149"/>
      <c r="D182" s="144" t="str">
        <f t="shared" si="16"/>
        <v/>
      </c>
      <c r="E182" s="183"/>
      <c r="F182" s="144" t="str">
        <f t="shared" si="17"/>
        <v/>
      </c>
      <c r="G182" s="182"/>
      <c r="H182" s="182"/>
      <c r="I182" s="182"/>
      <c r="J182" s="198"/>
      <c r="K182" s="197"/>
      <c r="L182" s="197"/>
      <c r="M182" s="198"/>
      <c r="N182" s="198"/>
      <c r="P182" s="139" t="str">
        <f t="shared" si="18"/>
        <v/>
      </c>
      <c r="Q182" s="139" t="str">
        <f t="shared" si="19"/>
        <v/>
      </c>
      <c r="AA182" s="139" t="s">
        <v>2390</v>
      </c>
      <c r="AB182" s="139" t="s">
        <v>2391</v>
      </c>
    </row>
    <row r="183" spans="1:28">
      <c r="A183" s="149"/>
      <c r="B183" s="144" t="str">
        <f t="shared" si="15"/>
        <v/>
      </c>
      <c r="C183" s="149"/>
      <c r="D183" s="144" t="str">
        <f t="shared" si="16"/>
        <v/>
      </c>
      <c r="E183" s="183"/>
      <c r="F183" s="144" t="str">
        <f t="shared" si="17"/>
        <v/>
      </c>
      <c r="G183" s="182"/>
      <c r="H183" s="182"/>
      <c r="I183" s="182"/>
      <c r="J183" s="198"/>
      <c r="K183" s="197"/>
      <c r="L183" s="197"/>
      <c r="M183" s="198"/>
      <c r="N183" s="198"/>
      <c r="P183" s="139" t="str">
        <f t="shared" si="18"/>
        <v/>
      </c>
      <c r="Q183" s="139" t="str">
        <f t="shared" si="19"/>
        <v/>
      </c>
      <c r="AA183" s="139" t="s">
        <v>2392</v>
      </c>
      <c r="AB183" s="139" t="s">
        <v>2393</v>
      </c>
    </row>
    <row r="184" spans="1:28">
      <c r="A184" s="149"/>
      <c r="B184" s="144" t="str">
        <f t="shared" si="15"/>
        <v/>
      </c>
      <c r="C184" s="149"/>
      <c r="D184" s="144" t="str">
        <f t="shared" si="16"/>
        <v/>
      </c>
      <c r="E184" s="183"/>
      <c r="F184" s="144" t="str">
        <f t="shared" si="17"/>
        <v/>
      </c>
      <c r="G184" s="182"/>
      <c r="H184" s="182"/>
      <c r="I184" s="182"/>
      <c r="J184" s="198"/>
      <c r="K184" s="197"/>
      <c r="L184" s="197"/>
      <c r="M184" s="198"/>
      <c r="N184" s="198"/>
      <c r="P184" s="139" t="str">
        <f t="shared" si="18"/>
        <v/>
      </c>
      <c r="Q184" s="139" t="str">
        <f t="shared" si="19"/>
        <v/>
      </c>
      <c r="AA184" s="139" t="s">
        <v>2394</v>
      </c>
      <c r="AB184" s="139" t="s">
        <v>2395</v>
      </c>
    </row>
    <row r="185" spans="1:28">
      <c r="A185" s="149"/>
      <c r="B185" s="144" t="str">
        <f t="shared" si="15"/>
        <v/>
      </c>
      <c r="C185" s="149"/>
      <c r="D185" s="144" t="str">
        <f t="shared" si="16"/>
        <v/>
      </c>
      <c r="E185" s="183"/>
      <c r="F185" s="144" t="str">
        <f t="shared" si="17"/>
        <v/>
      </c>
      <c r="G185" s="182"/>
      <c r="H185" s="182"/>
      <c r="I185" s="182"/>
      <c r="J185" s="198"/>
      <c r="K185" s="197"/>
      <c r="L185" s="197"/>
      <c r="M185" s="198"/>
      <c r="N185" s="198"/>
      <c r="P185" s="139" t="str">
        <f t="shared" si="18"/>
        <v/>
      </c>
      <c r="Q185" s="139" t="str">
        <f t="shared" si="19"/>
        <v/>
      </c>
      <c r="AA185" s="139" t="s">
        <v>2396</v>
      </c>
      <c r="AB185" s="139" t="s">
        <v>2397</v>
      </c>
    </row>
    <row r="186" spans="1:28">
      <c r="A186" s="149"/>
      <c r="B186" s="144" t="str">
        <f t="shared" si="15"/>
        <v/>
      </c>
      <c r="C186" s="149"/>
      <c r="D186" s="144" t="str">
        <f t="shared" si="16"/>
        <v/>
      </c>
      <c r="E186" s="183"/>
      <c r="F186" s="144" t="str">
        <f t="shared" si="17"/>
        <v/>
      </c>
      <c r="G186" s="182"/>
      <c r="H186" s="182"/>
      <c r="I186" s="182"/>
      <c r="J186" s="198"/>
      <c r="K186" s="197"/>
      <c r="L186" s="197"/>
      <c r="M186" s="198"/>
      <c r="N186" s="198"/>
      <c r="P186" s="139" t="str">
        <f t="shared" si="18"/>
        <v/>
      </c>
      <c r="Q186" s="139" t="str">
        <f t="shared" si="19"/>
        <v/>
      </c>
      <c r="AA186" s="139" t="s">
        <v>2398</v>
      </c>
      <c r="AB186" s="139" t="s">
        <v>2399</v>
      </c>
    </row>
    <row r="187" spans="1:28">
      <c r="A187" s="149"/>
      <c r="B187" s="144" t="str">
        <f t="shared" si="15"/>
        <v/>
      </c>
      <c r="C187" s="149"/>
      <c r="D187" s="144" t="str">
        <f t="shared" si="16"/>
        <v/>
      </c>
      <c r="E187" s="183"/>
      <c r="F187" s="144" t="str">
        <f t="shared" si="17"/>
        <v/>
      </c>
      <c r="G187" s="182"/>
      <c r="H187" s="182"/>
      <c r="I187" s="182"/>
      <c r="J187" s="198"/>
      <c r="K187" s="197"/>
      <c r="L187" s="197"/>
      <c r="M187" s="198"/>
      <c r="N187" s="198"/>
      <c r="P187" s="139" t="str">
        <f t="shared" si="18"/>
        <v/>
      </c>
      <c r="Q187" s="139" t="str">
        <f t="shared" si="19"/>
        <v/>
      </c>
      <c r="AA187" s="139" t="s">
        <v>2400</v>
      </c>
      <c r="AB187" s="139" t="s">
        <v>2401</v>
      </c>
    </row>
    <row r="188" spans="1:28">
      <c r="A188" s="149"/>
      <c r="B188" s="144" t="str">
        <f t="shared" si="15"/>
        <v/>
      </c>
      <c r="C188" s="149"/>
      <c r="D188" s="144" t="str">
        <f t="shared" si="16"/>
        <v/>
      </c>
      <c r="E188" s="183"/>
      <c r="F188" s="144" t="str">
        <f t="shared" si="17"/>
        <v/>
      </c>
      <c r="G188" s="182"/>
      <c r="H188" s="182"/>
      <c r="I188" s="182"/>
      <c r="J188" s="198"/>
      <c r="K188" s="197"/>
      <c r="L188" s="197"/>
      <c r="M188" s="198"/>
      <c r="N188" s="198"/>
      <c r="P188" s="139" t="str">
        <f t="shared" si="18"/>
        <v/>
      </c>
      <c r="Q188" s="139" t="str">
        <f t="shared" si="19"/>
        <v/>
      </c>
      <c r="AA188" s="139" t="s">
        <v>2402</v>
      </c>
      <c r="AB188" s="139" t="s">
        <v>2403</v>
      </c>
    </row>
    <row r="189" spans="1:28">
      <c r="A189" s="149"/>
      <c r="B189" s="144" t="str">
        <f t="shared" si="15"/>
        <v/>
      </c>
      <c r="C189" s="149"/>
      <c r="D189" s="144" t="str">
        <f t="shared" si="16"/>
        <v/>
      </c>
      <c r="E189" s="183"/>
      <c r="F189" s="144" t="str">
        <f t="shared" si="17"/>
        <v/>
      </c>
      <c r="G189" s="182"/>
      <c r="H189" s="182"/>
      <c r="I189" s="182"/>
      <c r="J189" s="198"/>
      <c r="K189" s="197"/>
      <c r="L189" s="197"/>
      <c r="M189" s="198"/>
      <c r="N189" s="198"/>
      <c r="P189" s="139" t="str">
        <f t="shared" si="18"/>
        <v/>
      </c>
      <c r="Q189" s="139" t="str">
        <f t="shared" si="19"/>
        <v/>
      </c>
      <c r="AA189" s="139" t="s">
        <v>2404</v>
      </c>
      <c r="AB189" s="139" t="s">
        <v>2405</v>
      </c>
    </row>
    <row r="190" spans="1:28">
      <c r="A190" s="149"/>
      <c r="B190" s="144" t="str">
        <f t="shared" si="15"/>
        <v/>
      </c>
      <c r="C190" s="149"/>
      <c r="D190" s="144" t="str">
        <f t="shared" si="16"/>
        <v/>
      </c>
      <c r="E190" s="183"/>
      <c r="F190" s="144" t="str">
        <f t="shared" si="17"/>
        <v/>
      </c>
      <c r="G190" s="182"/>
      <c r="H190" s="182"/>
      <c r="I190" s="182"/>
      <c r="J190" s="198"/>
      <c r="K190" s="197"/>
      <c r="L190" s="197"/>
      <c r="M190" s="198"/>
      <c r="N190" s="198"/>
      <c r="P190" s="139" t="str">
        <f t="shared" si="18"/>
        <v/>
      </c>
      <c r="Q190" s="139" t="str">
        <f t="shared" si="19"/>
        <v/>
      </c>
      <c r="AA190" s="139" t="s">
        <v>2406</v>
      </c>
      <c r="AB190" s="139" t="s">
        <v>2407</v>
      </c>
    </row>
    <row r="191" spans="1:28">
      <c r="A191" s="149"/>
      <c r="B191" s="144" t="str">
        <f t="shared" si="15"/>
        <v/>
      </c>
      <c r="C191" s="149"/>
      <c r="D191" s="144" t="str">
        <f t="shared" si="16"/>
        <v/>
      </c>
      <c r="E191" s="183"/>
      <c r="F191" s="144" t="str">
        <f t="shared" si="17"/>
        <v/>
      </c>
      <c r="G191" s="182"/>
      <c r="H191" s="182"/>
      <c r="I191" s="182"/>
      <c r="J191" s="198"/>
      <c r="K191" s="197"/>
      <c r="L191" s="197"/>
      <c r="M191" s="198"/>
      <c r="N191" s="198"/>
      <c r="P191" s="139" t="str">
        <f t="shared" si="18"/>
        <v/>
      </c>
      <c r="Q191" s="139" t="str">
        <f t="shared" si="19"/>
        <v/>
      </c>
      <c r="AA191" s="139" t="s">
        <v>2408</v>
      </c>
      <c r="AB191" s="139" t="s">
        <v>2409</v>
      </c>
    </row>
    <row r="192" spans="1:28">
      <c r="A192" s="149"/>
      <c r="B192" s="144" t="str">
        <f t="shared" si="15"/>
        <v/>
      </c>
      <c r="C192" s="149"/>
      <c r="D192" s="144" t="str">
        <f t="shared" si="16"/>
        <v/>
      </c>
      <c r="E192" s="183"/>
      <c r="F192" s="144" t="str">
        <f t="shared" si="17"/>
        <v/>
      </c>
      <c r="G192" s="182"/>
      <c r="H192" s="182"/>
      <c r="I192" s="182"/>
      <c r="J192" s="198"/>
      <c r="K192" s="197"/>
      <c r="L192" s="197"/>
      <c r="M192" s="198"/>
      <c r="N192" s="198"/>
      <c r="P192" s="139" t="str">
        <f t="shared" si="18"/>
        <v/>
      </c>
      <c r="Q192" s="139" t="str">
        <f t="shared" si="19"/>
        <v/>
      </c>
      <c r="AA192" s="139" t="s">
        <v>2410</v>
      </c>
      <c r="AB192" s="139" t="s">
        <v>2411</v>
      </c>
    </row>
    <row r="193" spans="1:28">
      <c r="A193" s="149"/>
      <c r="B193" s="144" t="str">
        <f t="shared" si="15"/>
        <v/>
      </c>
      <c r="C193" s="149"/>
      <c r="D193" s="144" t="str">
        <f t="shared" si="16"/>
        <v/>
      </c>
      <c r="E193" s="183"/>
      <c r="F193" s="144" t="str">
        <f t="shared" si="17"/>
        <v/>
      </c>
      <c r="G193" s="182"/>
      <c r="H193" s="182"/>
      <c r="I193" s="182"/>
      <c r="J193" s="198"/>
      <c r="K193" s="197"/>
      <c r="L193" s="197"/>
      <c r="M193" s="198"/>
      <c r="N193" s="198"/>
      <c r="P193" s="139" t="str">
        <f t="shared" si="18"/>
        <v/>
      </c>
      <c r="Q193" s="139" t="str">
        <f t="shared" si="19"/>
        <v/>
      </c>
      <c r="AA193" s="139" t="s">
        <v>2412</v>
      </c>
      <c r="AB193" s="139" t="s">
        <v>2413</v>
      </c>
    </row>
    <row r="194" spans="1:28">
      <c r="A194" s="149"/>
      <c r="B194" s="144" t="str">
        <f t="shared" si="15"/>
        <v/>
      </c>
      <c r="C194" s="149"/>
      <c r="D194" s="144" t="str">
        <f t="shared" si="16"/>
        <v/>
      </c>
      <c r="E194" s="183"/>
      <c r="F194" s="144" t="str">
        <f t="shared" si="17"/>
        <v/>
      </c>
      <c r="G194" s="182"/>
      <c r="H194" s="182"/>
      <c r="I194" s="182"/>
      <c r="J194" s="198"/>
      <c r="K194" s="197"/>
      <c r="L194" s="197"/>
      <c r="M194" s="198"/>
      <c r="N194" s="198"/>
      <c r="P194" s="139" t="str">
        <f t="shared" si="18"/>
        <v/>
      </c>
      <c r="Q194" s="139" t="str">
        <f t="shared" si="19"/>
        <v/>
      </c>
      <c r="AA194" s="139" t="s">
        <v>2414</v>
      </c>
      <c r="AB194" s="139" t="s">
        <v>2415</v>
      </c>
    </row>
    <row r="195" spans="1:28">
      <c r="A195" s="149"/>
      <c r="B195" s="144" t="str">
        <f t="shared" si="15"/>
        <v/>
      </c>
      <c r="C195" s="149"/>
      <c r="D195" s="144" t="str">
        <f t="shared" si="16"/>
        <v/>
      </c>
      <c r="E195" s="183"/>
      <c r="F195" s="144" t="str">
        <f t="shared" si="17"/>
        <v/>
      </c>
      <c r="G195" s="182"/>
      <c r="H195" s="182"/>
      <c r="I195" s="182"/>
      <c r="J195" s="198"/>
      <c r="K195" s="197"/>
      <c r="L195" s="197"/>
      <c r="M195" s="198"/>
      <c r="N195" s="198"/>
      <c r="P195" s="139" t="str">
        <f t="shared" si="18"/>
        <v/>
      </c>
      <c r="Q195" s="139" t="str">
        <f t="shared" si="19"/>
        <v/>
      </c>
      <c r="AA195" s="139" t="s">
        <v>2416</v>
      </c>
      <c r="AB195" s="139" t="s">
        <v>2417</v>
      </c>
    </row>
    <row r="196" spans="1:28">
      <c r="A196" s="149"/>
      <c r="B196" s="144" t="str">
        <f t="shared" ref="B196:B259" si="20">IFERROR(VLOOKUP(A196,$R$6:$S$23,2,FALSE),"")</f>
        <v/>
      </c>
      <c r="C196" s="149"/>
      <c r="D196" s="144" t="str">
        <f t="shared" ref="D196:D259" si="21">IFERROR(VLOOKUP(C196,$U$5:$W$129,2,FALSE),"")</f>
        <v/>
      </c>
      <c r="E196" s="183"/>
      <c r="F196" s="144" t="str">
        <f t="shared" ref="F196:F259" si="22">IFERROR(VLOOKUP(E196,$AA$6:$AB$1018,2,FALSE),"")</f>
        <v/>
      </c>
      <c r="G196" s="182"/>
      <c r="H196" s="182"/>
      <c r="I196" s="182"/>
      <c r="J196" s="198"/>
      <c r="K196" s="197"/>
      <c r="L196" s="197"/>
      <c r="M196" s="198"/>
      <c r="N196" s="198"/>
      <c r="P196" s="139" t="str">
        <f t="shared" ref="P196:P259" si="23">LEFT(C196,3)</f>
        <v/>
      </c>
      <c r="Q196" s="139" t="str">
        <f t="shared" ref="Q196:Q259" si="24">LEFT(C196,2)</f>
        <v/>
      </c>
      <c r="AA196" s="139" t="s">
        <v>2418</v>
      </c>
      <c r="AB196" s="139" t="s">
        <v>2419</v>
      </c>
    </row>
    <row r="197" spans="1:28">
      <c r="A197" s="149"/>
      <c r="B197" s="144" t="str">
        <f t="shared" si="20"/>
        <v/>
      </c>
      <c r="C197" s="149"/>
      <c r="D197" s="144" t="str">
        <f t="shared" si="21"/>
        <v/>
      </c>
      <c r="E197" s="183"/>
      <c r="F197" s="144" t="str">
        <f t="shared" si="22"/>
        <v/>
      </c>
      <c r="G197" s="182"/>
      <c r="H197" s="182"/>
      <c r="I197" s="182"/>
      <c r="J197" s="198"/>
      <c r="K197" s="197"/>
      <c r="L197" s="197"/>
      <c r="M197" s="198"/>
      <c r="N197" s="198"/>
      <c r="P197" s="139" t="str">
        <f t="shared" si="23"/>
        <v/>
      </c>
      <c r="Q197" s="139" t="str">
        <f t="shared" si="24"/>
        <v/>
      </c>
      <c r="AA197" s="139" t="s">
        <v>2420</v>
      </c>
      <c r="AB197" s="139" t="s">
        <v>2421</v>
      </c>
    </row>
    <row r="198" spans="1:28">
      <c r="A198" s="149"/>
      <c r="B198" s="144" t="str">
        <f t="shared" si="20"/>
        <v/>
      </c>
      <c r="C198" s="149"/>
      <c r="D198" s="144" t="str">
        <f t="shared" si="21"/>
        <v/>
      </c>
      <c r="E198" s="183"/>
      <c r="F198" s="144" t="str">
        <f t="shared" si="22"/>
        <v/>
      </c>
      <c r="G198" s="182"/>
      <c r="H198" s="182"/>
      <c r="I198" s="182"/>
      <c r="J198" s="198"/>
      <c r="K198" s="197"/>
      <c r="L198" s="197"/>
      <c r="M198" s="198"/>
      <c r="N198" s="198"/>
      <c r="P198" s="139" t="str">
        <f t="shared" si="23"/>
        <v/>
      </c>
      <c r="Q198" s="139" t="str">
        <f t="shared" si="24"/>
        <v/>
      </c>
      <c r="AA198" s="139" t="s">
        <v>2422</v>
      </c>
      <c r="AB198" s="139" t="s">
        <v>2423</v>
      </c>
    </row>
    <row r="199" spans="1:28">
      <c r="A199" s="149"/>
      <c r="B199" s="144" t="str">
        <f t="shared" si="20"/>
        <v/>
      </c>
      <c r="C199" s="149"/>
      <c r="D199" s="144" t="str">
        <f t="shared" si="21"/>
        <v/>
      </c>
      <c r="E199" s="183"/>
      <c r="F199" s="144" t="str">
        <f t="shared" si="22"/>
        <v/>
      </c>
      <c r="G199" s="182"/>
      <c r="H199" s="182"/>
      <c r="I199" s="182"/>
      <c r="J199" s="198"/>
      <c r="K199" s="197"/>
      <c r="L199" s="197"/>
      <c r="M199" s="198"/>
      <c r="N199" s="198"/>
      <c r="P199" s="139" t="str">
        <f t="shared" si="23"/>
        <v/>
      </c>
      <c r="Q199" s="139" t="str">
        <f t="shared" si="24"/>
        <v/>
      </c>
      <c r="AA199" s="139" t="s">
        <v>2424</v>
      </c>
      <c r="AB199" s="139" t="s">
        <v>2425</v>
      </c>
    </row>
    <row r="200" spans="1:28">
      <c r="A200" s="149"/>
      <c r="B200" s="144" t="str">
        <f t="shared" si="20"/>
        <v/>
      </c>
      <c r="C200" s="149"/>
      <c r="D200" s="144" t="str">
        <f t="shared" si="21"/>
        <v/>
      </c>
      <c r="E200" s="183"/>
      <c r="F200" s="144" t="str">
        <f t="shared" si="22"/>
        <v/>
      </c>
      <c r="G200" s="182"/>
      <c r="H200" s="182"/>
      <c r="I200" s="182"/>
      <c r="J200" s="198"/>
      <c r="K200" s="197"/>
      <c r="L200" s="197"/>
      <c r="M200" s="198"/>
      <c r="N200" s="198"/>
      <c r="P200" s="139" t="str">
        <f t="shared" si="23"/>
        <v/>
      </c>
      <c r="Q200" s="139" t="str">
        <f t="shared" si="24"/>
        <v/>
      </c>
      <c r="AA200" s="139" t="s">
        <v>2426</v>
      </c>
      <c r="AB200" s="139" t="s">
        <v>2427</v>
      </c>
    </row>
    <row r="201" spans="1:28">
      <c r="A201" s="149"/>
      <c r="B201" s="144" t="str">
        <f t="shared" si="20"/>
        <v/>
      </c>
      <c r="C201" s="149"/>
      <c r="D201" s="144" t="str">
        <f t="shared" si="21"/>
        <v/>
      </c>
      <c r="E201" s="183"/>
      <c r="F201" s="144" t="str">
        <f t="shared" si="22"/>
        <v/>
      </c>
      <c r="G201" s="182"/>
      <c r="H201" s="182"/>
      <c r="I201" s="182"/>
      <c r="J201" s="198"/>
      <c r="K201" s="197"/>
      <c r="L201" s="197"/>
      <c r="M201" s="198"/>
      <c r="N201" s="198"/>
      <c r="P201" s="139" t="str">
        <f t="shared" si="23"/>
        <v/>
      </c>
      <c r="Q201" s="139" t="str">
        <f t="shared" si="24"/>
        <v/>
      </c>
      <c r="AA201" s="139" t="s">
        <v>2428</v>
      </c>
      <c r="AB201" s="139" t="s">
        <v>2429</v>
      </c>
    </row>
    <row r="202" spans="1:28">
      <c r="A202" s="149"/>
      <c r="B202" s="144" t="str">
        <f t="shared" si="20"/>
        <v/>
      </c>
      <c r="C202" s="149"/>
      <c r="D202" s="144" t="str">
        <f t="shared" si="21"/>
        <v/>
      </c>
      <c r="E202" s="183"/>
      <c r="F202" s="144" t="str">
        <f t="shared" si="22"/>
        <v/>
      </c>
      <c r="G202" s="182"/>
      <c r="H202" s="182"/>
      <c r="I202" s="182"/>
      <c r="J202" s="198"/>
      <c r="K202" s="197"/>
      <c r="L202" s="197"/>
      <c r="M202" s="198"/>
      <c r="N202" s="198"/>
      <c r="P202" s="139" t="str">
        <f t="shared" si="23"/>
        <v/>
      </c>
      <c r="Q202" s="139" t="str">
        <f t="shared" si="24"/>
        <v/>
      </c>
      <c r="AA202" s="139" t="s">
        <v>2430</v>
      </c>
      <c r="AB202" s="139" t="s">
        <v>2431</v>
      </c>
    </row>
    <row r="203" spans="1:28">
      <c r="A203" s="149"/>
      <c r="B203" s="144" t="str">
        <f t="shared" si="20"/>
        <v/>
      </c>
      <c r="C203" s="149"/>
      <c r="D203" s="144" t="str">
        <f t="shared" si="21"/>
        <v/>
      </c>
      <c r="E203" s="183"/>
      <c r="F203" s="144" t="str">
        <f t="shared" si="22"/>
        <v/>
      </c>
      <c r="G203" s="182"/>
      <c r="H203" s="182"/>
      <c r="I203" s="182"/>
      <c r="J203" s="198"/>
      <c r="K203" s="197"/>
      <c r="L203" s="197"/>
      <c r="M203" s="198"/>
      <c r="N203" s="198"/>
      <c r="P203" s="139" t="str">
        <f t="shared" si="23"/>
        <v/>
      </c>
      <c r="Q203" s="139" t="str">
        <f t="shared" si="24"/>
        <v/>
      </c>
      <c r="AA203" s="139" t="s">
        <v>2432</v>
      </c>
      <c r="AB203" s="139" t="s">
        <v>2433</v>
      </c>
    </row>
    <row r="204" spans="1:28">
      <c r="A204" s="149"/>
      <c r="B204" s="144" t="str">
        <f t="shared" si="20"/>
        <v/>
      </c>
      <c r="C204" s="149"/>
      <c r="D204" s="144" t="str">
        <f t="shared" si="21"/>
        <v/>
      </c>
      <c r="E204" s="183"/>
      <c r="F204" s="144" t="str">
        <f t="shared" si="22"/>
        <v/>
      </c>
      <c r="G204" s="182"/>
      <c r="H204" s="182"/>
      <c r="I204" s="182"/>
      <c r="J204" s="198"/>
      <c r="K204" s="197"/>
      <c r="L204" s="197"/>
      <c r="M204" s="198"/>
      <c r="N204" s="198"/>
      <c r="P204" s="139" t="str">
        <f t="shared" si="23"/>
        <v/>
      </c>
      <c r="Q204" s="139" t="str">
        <f t="shared" si="24"/>
        <v/>
      </c>
      <c r="AA204" s="139" t="s">
        <v>2434</v>
      </c>
      <c r="AB204" s="139" t="s">
        <v>2435</v>
      </c>
    </row>
    <row r="205" spans="1:28">
      <c r="A205" s="149"/>
      <c r="B205" s="144" t="str">
        <f t="shared" si="20"/>
        <v/>
      </c>
      <c r="C205" s="149"/>
      <c r="D205" s="144" t="str">
        <f t="shared" si="21"/>
        <v/>
      </c>
      <c r="E205" s="183"/>
      <c r="F205" s="144" t="str">
        <f t="shared" si="22"/>
        <v/>
      </c>
      <c r="G205" s="182"/>
      <c r="H205" s="182"/>
      <c r="I205" s="182"/>
      <c r="J205" s="198"/>
      <c r="K205" s="197"/>
      <c r="L205" s="197"/>
      <c r="M205" s="198"/>
      <c r="N205" s="198"/>
      <c r="P205" s="139" t="str">
        <f t="shared" si="23"/>
        <v/>
      </c>
      <c r="Q205" s="139" t="str">
        <f t="shared" si="24"/>
        <v/>
      </c>
      <c r="AA205" s="139" t="s">
        <v>2436</v>
      </c>
      <c r="AB205" s="139" t="s">
        <v>2437</v>
      </c>
    </row>
    <row r="206" spans="1:28">
      <c r="A206" s="149"/>
      <c r="B206" s="144" t="str">
        <f t="shared" si="20"/>
        <v/>
      </c>
      <c r="C206" s="149"/>
      <c r="D206" s="144" t="str">
        <f t="shared" si="21"/>
        <v/>
      </c>
      <c r="E206" s="183"/>
      <c r="F206" s="144" t="str">
        <f t="shared" si="22"/>
        <v/>
      </c>
      <c r="G206" s="182"/>
      <c r="H206" s="182"/>
      <c r="I206" s="182"/>
      <c r="J206" s="198"/>
      <c r="K206" s="197"/>
      <c r="L206" s="197"/>
      <c r="M206" s="198"/>
      <c r="N206" s="198"/>
      <c r="P206" s="139" t="str">
        <f t="shared" si="23"/>
        <v/>
      </c>
      <c r="Q206" s="139" t="str">
        <f t="shared" si="24"/>
        <v/>
      </c>
      <c r="AA206" s="139" t="s">
        <v>2438</v>
      </c>
      <c r="AB206" s="139" t="s">
        <v>2439</v>
      </c>
    </row>
    <row r="207" spans="1:28">
      <c r="A207" s="149"/>
      <c r="B207" s="144" t="str">
        <f t="shared" si="20"/>
        <v/>
      </c>
      <c r="C207" s="149"/>
      <c r="D207" s="144" t="str">
        <f t="shared" si="21"/>
        <v/>
      </c>
      <c r="E207" s="183"/>
      <c r="F207" s="144" t="str">
        <f t="shared" si="22"/>
        <v/>
      </c>
      <c r="G207" s="182"/>
      <c r="H207" s="182"/>
      <c r="I207" s="182"/>
      <c r="J207" s="198"/>
      <c r="K207" s="197"/>
      <c r="L207" s="197"/>
      <c r="M207" s="198"/>
      <c r="N207" s="198"/>
      <c r="P207" s="139" t="str">
        <f t="shared" si="23"/>
        <v/>
      </c>
      <c r="Q207" s="139" t="str">
        <f t="shared" si="24"/>
        <v/>
      </c>
      <c r="AA207" s="139" t="s">
        <v>2440</v>
      </c>
      <c r="AB207" s="139" t="s">
        <v>2441</v>
      </c>
    </row>
    <row r="208" spans="1:28">
      <c r="A208" s="149"/>
      <c r="B208" s="144" t="str">
        <f t="shared" si="20"/>
        <v/>
      </c>
      <c r="C208" s="149"/>
      <c r="D208" s="144" t="str">
        <f t="shared" si="21"/>
        <v/>
      </c>
      <c r="E208" s="183"/>
      <c r="F208" s="144" t="str">
        <f t="shared" si="22"/>
        <v/>
      </c>
      <c r="G208" s="182"/>
      <c r="H208" s="182"/>
      <c r="I208" s="182"/>
      <c r="J208" s="198"/>
      <c r="K208" s="197"/>
      <c r="L208" s="197"/>
      <c r="M208" s="198"/>
      <c r="N208" s="198"/>
      <c r="P208" s="139" t="str">
        <f t="shared" si="23"/>
        <v/>
      </c>
      <c r="Q208" s="139" t="str">
        <f t="shared" si="24"/>
        <v/>
      </c>
      <c r="AA208" s="139" t="s">
        <v>2442</v>
      </c>
      <c r="AB208" s="139" t="s">
        <v>2443</v>
      </c>
    </row>
    <row r="209" spans="1:28">
      <c r="A209" s="149"/>
      <c r="B209" s="144" t="str">
        <f t="shared" si="20"/>
        <v/>
      </c>
      <c r="C209" s="149"/>
      <c r="D209" s="144" t="str">
        <f t="shared" si="21"/>
        <v/>
      </c>
      <c r="E209" s="183"/>
      <c r="F209" s="144" t="str">
        <f t="shared" si="22"/>
        <v/>
      </c>
      <c r="G209" s="182"/>
      <c r="H209" s="182"/>
      <c r="I209" s="182"/>
      <c r="J209" s="198"/>
      <c r="K209" s="197"/>
      <c r="L209" s="197"/>
      <c r="M209" s="198"/>
      <c r="N209" s="198"/>
      <c r="P209" s="139" t="str">
        <f t="shared" si="23"/>
        <v/>
      </c>
      <c r="Q209" s="139" t="str">
        <f t="shared" si="24"/>
        <v/>
      </c>
      <c r="AA209" s="139" t="s">
        <v>2444</v>
      </c>
      <c r="AB209" s="139" t="s">
        <v>2445</v>
      </c>
    </row>
    <row r="210" spans="1:28">
      <c r="A210" s="149"/>
      <c r="B210" s="144" t="str">
        <f t="shared" si="20"/>
        <v/>
      </c>
      <c r="C210" s="149"/>
      <c r="D210" s="144" t="str">
        <f t="shared" si="21"/>
        <v/>
      </c>
      <c r="E210" s="183"/>
      <c r="F210" s="144" t="str">
        <f t="shared" si="22"/>
        <v/>
      </c>
      <c r="G210" s="182"/>
      <c r="H210" s="182"/>
      <c r="I210" s="182"/>
      <c r="J210" s="198"/>
      <c r="K210" s="197"/>
      <c r="L210" s="197"/>
      <c r="M210" s="198"/>
      <c r="N210" s="198"/>
      <c r="P210" s="139" t="str">
        <f t="shared" si="23"/>
        <v/>
      </c>
      <c r="Q210" s="139" t="str">
        <f t="shared" si="24"/>
        <v/>
      </c>
      <c r="AA210" s="139" t="s">
        <v>2446</v>
      </c>
      <c r="AB210" s="139" t="s">
        <v>2447</v>
      </c>
    </row>
    <row r="211" spans="1:28">
      <c r="A211" s="149"/>
      <c r="B211" s="144" t="str">
        <f t="shared" si="20"/>
        <v/>
      </c>
      <c r="C211" s="149"/>
      <c r="D211" s="144" t="str">
        <f t="shared" si="21"/>
        <v/>
      </c>
      <c r="E211" s="183"/>
      <c r="F211" s="144" t="str">
        <f t="shared" si="22"/>
        <v/>
      </c>
      <c r="G211" s="182"/>
      <c r="H211" s="182"/>
      <c r="I211" s="182"/>
      <c r="J211" s="198"/>
      <c r="K211" s="197"/>
      <c r="L211" s="197"/>
      <c r="M211" s="198"/>
      <c r="N211" s="198"/>
      <c r="P211" s="139" t="str">
        <f t="shared" si="23"/>
        <v/>
      </c>
      <c r="Q211" s="139" t="str">
        <f t="shared" si="24"/>
        <v/>
      </c>
      <c r="AA211" s="139" t="s">
        <v>2448</v>
      </c>
      <c r="AB211" s="139" t="s">
        <v>2449</v>
      </c>
    </row>
    <row r="212" spans="1:28">
      <c r="A212" s="149"/>
      <c r="B212" s="144" t="str">
        <f t="shared" si="20"/>
        <v/>
      </c>
      <c r="C212" s="149"/>
      <c r="D212" s="144" t="str">
        <f t="shared" si="21"/>
        <v/>
      </c>
      <c r="E212" s="183"/>
      <c r="F212" s="144" t="str">
        <f t="shared" si="22"/>
        <v/>
      </c>
      <c r="G212" s="182"/>
      <c r="H212" s="182"/>
      <c r="I212" s="182"/>
      <c r="J212" s="198"/>
      <c r="K212" s="197"/>
      <c r="L212" s="197"/>
      <c r="M212" s="198"/>
      <c r="N212" s="198"/>
      <c r="P212" s="139" t="str">
        <f t="shared" si="23"/>
        <v/>
      </c>
      <c r="Q212" s="139" t="str">
        <f t="shared" si="24"/>
        <v/>
      </c>
      <c r="AA212" s="139" t="s">
        <v>2450</v>
      </c>
      <c r="AB212" s="139" t="s">
        <v>2451</v>
      </c>
    </row>
    <row r="213" spans="1:28">
      <c r="A213" s="149"/>
      <c r="B213" s="144" t="str">
        <f t="shared" si="20"/>
        <v/>
      </c>
      <c r="C213" s="149"/>
      <c r="D213" s="144" t="str">
        <f t="shared" si="21"/>
        <v/>
      </c>
      <c r="E213" s="183"/>
      <c r="F213" s="144" t="str">
        <f t="shared" si="22"/>
        <v/>
      </c>
      <c r="G213" s="182"/>
      <c r="H213" s="182"/>
      <c r="I213" s="182"/>
      <c r="J213" s="198"/>
      <c r="K213" s="197"/>
      <c r="L213" s="197"/>
      <c r="M213" s="198"/>
      <c r="N213" s="198"/>
      <c r="P213" s="139" t="str">
        <f t="shared" si="23"/>
        <v/>
      </c>
      <c r="Q213" s="139" t="str">
        <f t="shared" si="24"/>
        <v/>
      </c>
      <c r="AA213" s="139" t="s">
        <v>2452</v>
      </c>
      <c r="AB213" s="139" t="s">
        <v>2453</v>
      </c>
    </row>
    <row r="214" spans="1:28">
      <c r="A214" s="149"/>
      <c r="B214" s="144" t="str">
        <f t="shared" si="20"/>
        <v/>
      </c>
      <c r="C214" s="149"/>
      <c r="D214" s="144" t="str">
        <f t="shared" si="21"/>
        <v/>
      </c>
      <c r="E214" s="183"/>
      <c r="F214" s="144" t="str">
        <f t="shared" si="22"/>
        <v/>
      </c>
      <c r="G214" s="182"/>
      <c r="H214" s="182"/>
      <c r="I214" s="182"/>
      <c r="J214" s="198"/>
      <c r="K214" s="197"/>
      <c r="L214" s="197"/>
      <c r="M214" s="198"/>
      <c r="N214" s="198"/>
      <c r="P214" s="139" t="str">
        <f t="shared" si="23"/>
        <v/>
      </c>
      <c r="Q214" s="139" t="str">
        <f t="shared" si="24"/>
        <v/>
      </c>
      <c r="AA214" s="139" t="s">
        <v>2454</v>
      </c>
      <c r="AB214" s="139" t="s">
        <v>2455</v>
      </c>
    </row>
    <row r="215" spans="1:28">
      <c r="A215" s="149"/>
      <c r="B215" s="144" t="str">
        <f t="shared" si="20"/>
        <v/>
      </c>
      <c r="C215" s="149"/>
      <c r="D215" s="144" t="str">
        <f t="shared" si="21"/>
        <v/>
      </c>
      <c r="E215" s="183"/>
      <c r="F215" s="144" t="str">
        <f t="shared" si="22"/>
        <v/>
      </c>
      <c r="G215" s="182"/>
      <c r="H215" s="182"/>
      <c r="I215" s="182"/>
      <c r="J215" s="198"/>
      <c r="K215" s="197"/>
      <c r="L215" s="197"/>
      <c r="M215" s="198"/>
      <c r="N215" s="198"/>
      <c r="P215" s="139" t="str">
        <f t="shared" si="23"/>
        <v/>
      </c>
      <c r="Q215" s="139" t="str">
        <f t="shared" si="24"/>
        <v/>
      </c>
      <c r="AA215" s="139" t="s">
        <v>2456</v>
      </c>
      <c r="AB215" s="139" t="s">
        <v>2457</v>
      </c>
    </row>
    <row r="216" spans="1:28">
      <c r="A216" s="149"/>
      <c r="B216" s="144" t="str">
        <f t="shared" si="20"/>
        <v/>
      </c>
      <c r="C216" s="149"/>
      <c r="D216" s="144" t="str">
        <f t="shared" si="21"/>
        <v/>
      </c>
      <c r="E216" s="183"/>
      <c r="F216" s="144" t="str">
        <f t="shared" si="22"/>
        <v/>
      </c>
      <c r="G216" s="182"/>
      <c r="H216" s="182"/>
      <c r="I216" s="182"/>
      <c r="J216" s="198"/>
      <c r="K216" s="197"/>
      <c r="L216" s="197"/>
      <c r="M216" s="198"/>
      <c r="N216" s="198"/>
      <c r="P216" s="139" t="str">
        <f t="shared" si="23"/>
        <v/>
      </c>
      <c r="Q216" s="139" t="str">
        <f t="shared" si="24"/>
        <v/>
      </c>
      <c r="AA216" s="139" t="s">
        <v>2458</v>
      </c>
      <c r="AB216" s="139" t="s">
        <v>2459</v>
      </c>
    </row>
    <row r="217" spans="1:28">
      <c r="A217" s="149"/>
      <c r="B217" s="144" t="str">
        <f t="shared" si="20"/>
        <v/>
      </c>
      <c r="C217" s="149"/>
      <c r="D217" s="144" t="str">
        <f t="shared" si="21"/>
        <v/>
      </c>
      <c r="E217" s="183"/>
      <c r="F217" s="144" t="str">
        <f t="shared" si="22"/>
        <v/>
      </c>
      <c r="G217" s="182"/>
      <c r="H217" s="182"/>
      <c r="I217" s="182"/>
      <c r="J217" s="198"/>
      <c r="K217" s="197"/>
      <c r="L217" s="197"/>
      <c r="M217" s="198"/>
      <c r="N217" s="198"/>
      <c r="P217" s="139" t="str">
        <f t="shared" si="23"/>
        <v/>
      </c>
      <c r="Q217" s="139" t="str">
        <f t="shared" si="24"/>
        <v/>
      </c>
      <c r="AA217" s="139" t="s">
        <v>2460</v>
      </c>
      <c r="AB217" s="139" t="s">
        <v>2461</v>
      </c>
    </row>
    <row r="218" spans="1:28">
      <c r="A218" s="149"/>
      <c r="B218" s="144" t="str">
        <f t="shared" si="20"/>
        <v/>
      </c>
      <c r="C218" s="149"/>
      <c r="D218" s="144" t="str">
        <f t="shared" si="21"/>
        <v/>
      </c>
      <c r="E218" s="183"/>
      <c r="F218" s="144" t="str">
        <f t="shared" si="22"/>
        <v/>
      </c>
      <c r="G218" s="182"/>
      <c r="H218" s="182"/>
      <c r="I218" s="182"/>
      <c r="J218" s="198"/>
      <c r="K218" s="197"/>
      <c r="L218" s="197"/>
      <c r="M218" s="198"/>
      <c r="N218" s="198"/>
      <c r="P218" s="139" t="str">
        <f t="shared" si="23"/>
        <v/>
      </c>
      <c r="Q218" s="139" t="str">
        <f t="shared" si="24"/>
        <v/>
      </c>
      <c r="AA218" s="139" t="s">
        <v>2462</v>
      </c>
      <c r="AB218" s="139" t="s">
        <v>2463</v>
      </c>
    </row>
    <row r="219" spans="1:28">
      <c r="A219" s="149"/>
      <c r="B219" s="144" t="str">
        <f t="shared" si="20"/>
        <v/>
      </c>
      <c r="C219" s="149"/>
      <c r="D219" s="144" t="str">
        <f t="shared" si="21"/>
        <v/>
      </c>
      <c r="E219" s="183"/>
      <c r="F219" s="144" t="str">
        <f t="shared" si="22"/>
        <v/>
      </c>
      <c r="G219" s="182"/>
      <c r="H219" s="182"/>
      <c r="I219" s="182"/>
      <c r="J219" s="198"/>
      <c r="K219" s="197"/>
      <c r="L219" s="197"/>
      <c r="M219" s="198"/>
      <c r="N219" s="198"/>
      <c r="P219" s="139" t="str">
        <f t="shared" si="23"/>
        <v/>
      </c>
      <c r="Q219" s="139" t="str">
        <f t="shared" si="24"/>
        <v/>
      </c>
      <c r="AA219" s="139" t="s">
        <v>2464</v>
      </c>
      <c r="AB219" s="139" t="s">
        <v>2465</v>
      </c>
    </row>
    <row r="220" spans="1:28">
      <c r="A220" s="149"/>
      <c r="B220" s="144" t="str">
        <f t="shared" si="20"/>
        <v/>
      </c>
      <c r="C220" s="149"/>
      <c r="D220" s="144" t="str">
        <f t="shared" si="21"/>
        <v/>
      </c>
      <c r="E220" s="183"/>
      <c r="F220" s="144" t="str">
        <f t="shared" si="22"/>
        <v/>
      </c>
      <c r="G220" s="182"/>
      <c r="H220" s="182"/>
      <c r="I220" s="182"/>
      <c r="J220" s="198"/>
      <c r="K220" s="197"/>
      <c r="L220" s="197"/>
      <c r="M220" s="198"/>
      <c r="N220" s="198"/>
      <c r="P220" s="139" t="str">
        <f t="shared" si="23"/>
        <v/>
      </c>
      <c r="Q220" s="139" t="str">
        <f t="shared" si="24"/>
        <v/>
      </c>
      <c r="AA220" s="139" t="s">
        <v>2466</v>
      </c>
      <c r="AB220" s="139" t="s">
        <v>2467</v>
      </c>
    </row>
    <row r="221" spans="1:28">
      <c r="A221" s="149"/>
      <c r="B221" s="144" t="str">
        <f t="shared" si="20"/>
        <v/>
      </c>
      <c r="C221" s="149"/>
      <c r="D221" s="144" t="str">
        <f t="shared" si="21"/>
        <v/>
      </c>
      <c r="E221" s="183"/>
      <c r="F221" s="144" t="str">
        <f t="shared" si="22"/>
        <v/>
      </c>
      <c r="G221" s="182"/>
      <c r="H221" s="182"/>
      <c r="I221" s="182"/>
      <c r="J221" s="198"/>
      <c r="K221" s="197"/>
      <c r="L221" s="197"/>
      <c r="M221" s="198"/>
      <c r="N221" s="198"/>
      <c r="P221" s="139" t="str">
        <f t="shared" si="23"/>
        <v/>
      </c>
      <c r="Q221" s="139" t="str">
        <f t="shared" si="24"/>
        <v/>
      </c>
      <c r="AA221" s="139" t="s">
        <v>2468</v>
      </c>
      <c r="AB221" s="139" t="s">
        <v>2469</v>
      </c>
    </row>
    <row r="222" spans="1:28">
      <c r="A222" s="149"/>
      <c r="B222" s="144" t="str">
        <f t="shared" si="20"/>
        <v/>
      </c>
      <c r="C222" s="149"/>
      <c r="D222" s="144" t="str">
        <f t="shared" si="21"/>
        <v/>
      </c>
      <c r="E222" s="183"/>
      <c r="F222" s="144" t="str">
        <f t="shared" si="22"/>
        <v/>
      </c>
      <c r="G222" s="182"/>
      <c r="H222" s="182"/>
      <c r="I222" s="182"/>
      <c r="J222" s="198"/>
      <c r="K222" s="197"/>
      <c r="L222" s="197"/>
      <c r="M222" s="198"/>
      <c r="N222" s="198"/>
      <c r="P222" s="139" t="str">
        <f t="shared" si="23"/>
        <v/>
      </c>
      <c r="Q222" s="139" t="str">
        <f t="shared" si="24"/>
        <v/>
      </c>
      <c r="AA222" s="139" t="s">
        <v>842</v>
      </c>
      <c r="AB222" s="139" t="s">
        <v>843</v>
      </c>
    </row>
    <row r="223" spans="1:28">
      <c r="A223" s="149"/>
      <c r="B223" s="144" t="str">
        <f t="shared" si="20"/>
        <v/>
      </c>
      <c r="C223" s="149"/>
      <c r="D223" s="144" t="str">
        <f t="shared" si="21"/>
        <v/>
      </c>
      <c r="E223" s="183"/>
      <c r="F223" s="144" t="str">
        <f t="shared" si="22"/>
        <v/>
      </c>
      <c r="G223" s="182"/>
      <c r="H223" s="182"/>
      <c r="I223" s="182"/>
      <c r="J223" s="198"/>
      <c r="K223" s="197"/>
      <c r="L223" s="197"/>
      <c r="M223" s="198"/>
      <c r="N223" s="198"/>
      <c r="P223" s="139" t="str">
        <f t="shared" si="23"/>
        <v/>
      </c>
      <c r="Q223" s="139" t="str">
        <f t="shared" si="24"/>
        <v/>
      </c>
      <c r="AA223" s="139" t="s">
        <v>844</v>
      </c>
      <c r="AB223" s="139" t="s">
        <v>845</v>
      </c>
    </row>
    <row r="224" spans="1:28">
      <c r="A224" s="149"/>
      <c r="B224" s="144" t="str">
        <f t="shared" si="20"/>
        <v/>
      </c>
      <c r="C224" s="149"/>
      <c r="D224" s="144" t="str">
        <f t="shared" si="21"/>
        <v/>
      </c>
      <c r="E224" s="183"/>
      <c r="F224" s="144" t="str">
        <f t="shared" si="22"/>
        <v/>
      </c>
      <c r="G224" s="182"/>
      <c r="H224" s="182"/>
      <c r="I224" s="182"/>
      <c r="J224" s="198"/>
      <c r="K224" s="197"/>
      <c r="L224" s="197"/>
      <c r="M224" s="198"/>
      <c r="N224" s="198"/>
      <c r="P224" s="139" t="str">
        <f t="shared" si="23"/>
        <v/>
      </c>
      <c r="Q224" s="139" t="str">
        <f t="shared" si="24"/>
        <v/>
      </c>
      <c r="AA224" s="139" t="s">
        <v>846</v>
      </c>
      <c r="AB224" s="139" t="s">
        <v>847</v>
      </c>
    </row>
    <row r="225" spans="1:28">
      <c r="A225" s="149"/>
      <c r="B225" s="144" t="str">
        <f t="shared" si="20"/>
        <v/>
      </c>
      <c r="C225" s="149"/>
      <c r="D225" s="144" t="str">
        <f t="shared" si="21"/>
        <v/>
      </c>
      <c r="E225" s="183"/>
      <c r="F225" s="144" t="str">
        <f t="shared" si="22"/>
        <v/>
      </c>
      <c r="G225" s="182"/>
      <c r="H225" s="182"/>
      <c r="I225" s="182"/>
      <c r="J225" s="198"/>
      <c r="K225" s="197"/>
      <c r="L225" s="197"/>
      <c r="M225" s="198"/>
      <c r="N225" s="198"/>
      <c r="P225" s="139" t="str">
        <f t="shared" si="23"/>
        <v/>
      </c>
      <c r="Q225" s="139" t="str">
        <f t="shared" si="24"/>
        <v/>
      </c>
      <c r="AA225" s="139" t="s">
        <v>848</v>
      </c>
      <c r="AB225" s="139" t="s">
        <v>849</v>
      </c>
    </row>
    <row r="226" spans="1:28">
      <c r="A226" s="149"/>
      <c r="B226" s="144" t="str">
        <f t="shared" si="20"/>
        <v/>
      </c>
      <c r="C226" s="149"/>
      <c r="D226" s="144" t="str">
        <f t="shared" si="21"/>
        <v/>
      </c>
      <c r="E226" s="183"/>
      <c r="F226" s="144" t="str">
        <f t="shared" si="22"/>
        <v/>
      </c>
      <c r="G226" s="182"/>
      <c r="H226" s="182"/>
      <c r="I226" s="182"/>
      <c r="J226" s="198"/>
      <c r="K226" s="197"/>
      <c r="L226" s="197"/>
      <c r="M226" s="198"/>
      <c r="N226" s="198"/>
      <c r="P226" s="139" t="str">
        <f t="shared" si="23"/>
        <v/>
      </c>
      <c r="Q226" s="139" t="str">
        <f t="shared" si="24"/>
        <v/>
      </c>
      <c r="AA226" s="139" t="s">
        <v>850</v>
      </c>
      <c r="AB226" s="139" t="s">
        <v>851</v>
      </c>
    </row>
    <row r="227" spans="1:28">
      <c r="A227" s="149"/>
      <c r="B227" s="144" t="str">
        <f t="shared" si="20"/>
        <v/>
      </c>
      <c r="C227" s="149"/>
      <c r="D227" s="144" t="str">
        <f t="shared" si="21"/>
        <v/>
      </c>
      <c r="E227" s="183"/>
      <c r="F227" s="144" t="str">
        <f t="shared" si="22"/>
        <v/>
      </c>
      <c r="G227" s="182"/>
      <c r="H227" s="182"/>
      <c r="I227" s="182"/>
      <c r="J227" s="198"/>
      <c r="K227" s="197"/>
      <c r="L227" s="197"/>
      <c r="M227" s="198"/>
      <c r="N227" s="198"/>
      <c r="P227" s="139" t="str">
        <f t="shared" si="23"/>
        <v/>
      </c>
      <c r="Q227" s="139" t="str">
        <f t="shared" si="24"/>
        <v/>
      </c>
      <c r="AA227" s="139" t="s">
        <v>852</v>
      </c>
      <c r="AB227" s="139" t="s">
        <v>853</v>
      </c>
    </row>
    <row r="228" spans="1:28">
      <c r="A228" s="149"/>
      <c r="B228" s="144" t="str">
        <f t="shared" si="20"/>
        <v/>
      </c>
      <c r="C228" s="149"/>
      <c r="D228" s="144" t="str">
        <f t="shared" si="21"/>
        <v/>
      </c>
      <c r="E228" s="183"/>
      <c r="F228" s="144" t="str">
        <f t="shared" si="22"/>
        <v/>
      </c>
      <c r="G228" s="182"/>
      <c r="H228" s="182"/>
      <c r="I228" s="182"/>
      <c r="J228" s="198"/>
      <c r="K228" s="197"/>
      <c r="L228" s="197"/>
      <c r="M228" s="198"/>
      <c r="N228" s="198"/>
      <c r="P228" s="139" t="str">
        <f t="shared" si="23"/>
        <v/>
      </c>
      <c r="Q228" s="139" t="str">
        <f t="shared" si="24"/>
        <v/>
      </c>
      <c r="AA228" s="139" t="s">
        <v>854</v>
      </c>
      <c r="AB228" s="139" t="s">
        <v>855</v>
      </c>
    </row>
    <row r="229" spans="1:28">
      <c r="A229" s="149"/>
      <c r="B229" s="144" t="str">
        <f t="shared" si="20"/>
        <v/>
      </c>
      <c r="C229" s="149"/>
      <c r="D229" s="144" t="str">
        <f t="shared" si="21"/>
        <v/>
      </c>
      <c r="E229" s="183"/>
      <c r="F229" s="144" t="str">
        <f t="shared" si="22"/>
        <v/>
      </c>
      <c r="G229" s="182"/>
      <c r="H229" s="182"/>
      <c r="I229" s="182"/>
      <c r="J229" s="198"/>
      <c r="K229" s="197"/>
      <c r="L229" s="197"/>
      <c r="M229" s="198"/>
      <c r="N229" s="198"/>
      <c r="P229" s="139" t="str">
        <f t="shared" si="23"/>
        <v/>
      </c>
      <c r="Q229" s="139" t="str">
        <f t="shared" si="24"/>
        <v/>
      </c>
      <c r="AA229" s="139" t="s">
        <v>1505</v>
      </c>
      <c r="AB229" s="139" t="s">
        <v>1506</v>
      </c>
    </row>
    <row r="230" spans="1:28">
      <c r="A230" s="149"/>
      <c r="B230" s="144" t="str">
        <f t="shared" si="20"/>
        <v/>
      </c>
      <c r="C230" s="149"/>
      <c r="D230" s="144" t="str">
        <f t="shared" si="21"/>
        <v/>
      </c>
      <c r="E230" s="183"/>
      <c r="F230" s="144" t="str">
        <f t="shared" si="22"/>
        <v/>
      </c>
      <c r="G230" s="182"/>
      <c r="H230" s="182"/>
      <c r="I230" s="182"/>
      <c r="J230" s="198"/>
      <c r="K230" s="197"/>
      <c r="L230" s="197"/>
      <c r="M230" s="198"/>
      <c r="N230" s="198"/>
      <c r="P230" s="139" t="str">
        <f t="shared" si="23"/>
        <v/>
      </c>
      <c r="Q230" s="139" t="str">
        <f t="shared" si="24"/>
        <v/>
      </c>
      <c r="AA230" s="139" t="s">
        <v>1507</v>
      </c>
      <c r="AB230" s="139" t="s">
        <v>1508</v>
      </c>
    </row>
    <row r="231" spans="1:28">
      <c r="A231" s="149"/>
      <c r="B231" s="144" t="str">
        <f t="shared" si="20"/>
        <v/>
      </c>
      <c r="C231" s="149"/>
      <c r="D231" s="144" t="str">
        <f t="shared" si="21"/>
        <v/>
      </c>
      <c r="E231" s="183"/>
      <c r="F231" s="144" t="str">
        <f t="shared" si="22"/>
        <v/>
      </c>
      <c r="G231" s="182"/>
      <c r="H231" s="182"/>
      <c r="I231" s="182"/>
      <c r="J231" s="198"/>
      <c r="K231" s="197"/>
      <c r="L231" s="197"/>
      <c r="M231" s="198"/>
      <c r="N231" s="198"/>
      <c r="P231" s="139" t="str">
        <f t="shared" si="23"/>
        <v/>
      </c>
      <c r="Q231" s="139" t="str">
        <f t="shared" si="24"/>
        <v/>
      </c>
      <c r="AA231" s="139" t="s">
        <v>1509</v>
      </c>
      <c r="AB231" s="139" t="s">
        <v>1510</v>
      </c>
    </row>
    <row r="232" spans="1:28">
      <c r="A232" s="149"/>
      <c r="B232" s="144" t="str">
        <f t="shared" si="20"/>
        <v/>
      </c>
      <c r="C232" s="149"/>
      <c r="D232" s="144" t="str">
        <f t="shared" si="21"/>
        <v/>
      </c>
      <c r="E232" s="183"/>
      <c r="F232" s="144" t="str">
        <f t="shared" si="22"/>
        <v/>
      </c>
      <c r="G232" s="182"/>
      <c r="H232" s="182"/>
      <c r="I232" s="182"/>
      <c r="J232" s="198"/>
      <c r="K232" s="197"/>
      <c r="L232" s="197"/>
      <c r="M232" s="198"/>
      <c r="N232" s="198"/>
      <c r="P232" s="139" t="str">
        <f t="shared" si="23"/>
        <v/>
      </c>
      <c r="Q232" s="139" t="str">
        <f t="shared" si="24"/>
        <v/>
      </c>
      <c r="AA232" s="139" t="s">
        <v>1511</v>
      </c>
      <c r="AB232" s="139" t="s">
        <v>1512</v>
      </c>
    </row>
    <row r="233" spans="1:28">
      <c r="A233" s="149"/>
      <c r="B233" s="144" t="str">
        <f t="shared" si="20"/>
        <v/>
      </c>
      <c r="C233" s="149"/>
      <c r="D233" s="144" t="str">
        <f t="shared" si="21"/>
        <v/>
      </c>
      <c r="E233" s="183"/>
      <c r="F233" s="144" t="str">
        <f t="shared" si="22"/>
        <v/>
      </c>
      <c r="G233" s="182"/>
      <c r="H233" s="182"/>
      <c r="I233" s="182"/>
      <c r="J233" s="198"/>
      <c r="K233" s="197"/>
      <c r="L233" s="197"/>
      <c r="M233" s="198"/>
      <c r="N233" s="198"/>
      <c r="P233" s="139" t="str">
        <f t="shared" si="23"/>
        <v/>
      </c>
      <c r="Q233" s="139" t="str">
        <f t="shared" si="24"/>
        <v/>
      </c>
      <c r="AA233" s="139" t="s">
        <v>1513</v>
      </c>
      <c r="AB233" s="139" t="s">
        <v>1514</v>
      </c>
    </row>
    <row r="234" spans="1:28">
      <c r="A234" s="149"/>
      <c r="B234" s="144" t="str">
        <f t="shared" si="20"/>
        <v/>
      </c>
      <c r="C234" s="149"/>
      <c r="D234" s="144" t="str">
        <f t="shared" si="21"/>
        <v/>
      </c>
      <c r="E234" s="183"/>
      <c r="F234" s="144" t="str">
        <f t="shared" si="22"/>
        <v/>
      </c>
      <c r="G234" s="182"/>
      <c r="H234" s="182"/>
      <c r="I234" s="182"/>
      <c r="J234" s="198"/>
      <c r="K234" s="197"/>
      <c r="L234" s="197"/>
      <c r="M234" s="198"/>
      <c r="N234" s="198"/>
      <c r="P234" s="139" t="str">
        <f t="shared" si="23"/>
        <v/>
      </c>
      <c r="Q234" s="139" t="str">
        <f t="shared" si="24"/>
        <v/>
      </c>
      <c r="AA234" s="139" t="s">
        <v>2470</v>
      </c>
      <c r="AB234" s="139" t="s">
        <v>2471</v>
      </c>
    </row>
    <row r="235" spans="1:28">
      <c r="A235" s="149"/>
      <c r="B235" s="144" t="str">
        <f t="shared" si="20"/>
        <v/>
      </c>
      <c r="C235" s="149"/>
      <c r="D235" s="144" t="str">
        <f t="shared" si="21"/>
        <v/>
      </c>
      <c r="E235" s="183"/>
      <c r="F235" s="144" t="str">
        <f t="shared" si="22"/>
        <v/>
      </c>
      <c r="G235" s="182"/>
      <c r="H235" s="182"/>
      <c r="I235" s="182"/>
      <c r="J235" s="198"/>
      <c r="K235" s="197"/>
      <c r="L235" s="197"/>
      <c r="M235" s="198"/>
      <c r="N235" s="198"/>
      <c r="P235" s="139" t="str">
        <f t="shared" si="23"/>
        <v/>
      </c>
      <c r="Q235" s="139" t="str">
        <f t="shared" si="24"/>
        <v/>
      </c>
      <c r="AA235" s="139" t="s">
        <v>2472</v>
      </c>
      <c r="AB235" s="139" t="s">
        <v>2473</v>
      </c>
    </row>
    <row r="236" spans="1:28">
      <c r="A236" s="149"/>
      <c r="B236" s="144" t="str">
        <f t="shared" si="20"/>
        <v/>
      </c>
      <c r="C236" s="149"/>
      <c r="D236" s="144" t="str">
        <f t="shared" si="21"/>
        <v/>
      </c>
      <c r="E236" s="183"/>
      <c r="F236" s="144" t="str">
        <f t="shared" si="22"/>
        <v/>
      </c>
      <c r="G236" s="182"/>
      <c r="H236" s="182"/>
      <c r="I236" s="182"/>
      <c r="J236" s="198"/>
      <c r="K236" s="197"/>
      <c r="L236" s="197"/>
      <c r="M236" s="198"/>
      <c r="N236" s="198"/>
      <c r="P236" s="139" t="str">
        <f t="shared" si="23"/>
        <v/>
      </c>
      <c r="Q236" s="139" t="str">
        <f t="shared" si="24"/>
        <v/>
      </c>
      <c r="AA236" s="139" t="s">
        <v>2474</v>
      </c>
      <c r="AB236" s="139" t="s">
        <v>2475</v>
      </c>
    </row>
    <row r="237" spans="1:28">
      <c r="A237" s="149"/>
      <c r="B237" s="144" t="str">
        <f t="shared" si="20"/>
        <v/>
      </c>
      <c r="C237" s="149"/>
      <c r="D237" s="144" t="str">
        <f t="shared" si="21"/>
        <v/>
      </c>
      <c r="E237" s="183"/>
      <c r="F237" s="144" t="str">
        <f t="shared" si="22"/>
        <v/>
      </c>
      <c r="G237" s="182"/>
      <c r="H237" s="182"/>
      <c r="I237" s="182"/>
      <c r="J237" s="198"/>
      <c r="K237" s="197"/>
      <c r="L237" s="197"/>
      <c r="M237" s="198"/>
      <c r="N237" s="198"/>
      <c r="P237" s="139" t="str">
        <f t="shared" si="23"/>
        <v/>
      </c>
      <c r="Q237" s="139" t="str">
        <f t="shared" si="24"/>
        <v/>
      </c>
      <c r="AA237" s="139" t="s">
        <v>2476</v>
      </c>
      <c r="AB237" s="139" t="s">
        <v>2477</v>
      </c>
    </row>
    <row r="238" spans="1:28">
      <c r="A238" s="149"/>
      <c r="B238" s="144" t="str">
        <f t="shared" si="20"/>
        <v/>
      </c>
      <c r="C238" s="149"/>
      <c r="D238" s="144" t="str">
        <f t="shared" si="21"/>
        <v/>
      </c>
      <c r="E238" s="183"/>
      <c r="F238" s="144" t="str">
        <f t="shared" si="22"/>
        <v/>
      </c>
      <c r="G238" s="182"/>
      <c r="H238" s="182"/>
      <c r="I238" s="182"/>
      <c r="J238" s="198"/>
      <c r="K238" s="197"/>
      <c r="L238" s="197"/>
      <c r="M238" s="198"/>
      <c r="N238" s="198"/>
      <c r="P238" s="139" t="str">
        <f t="shared" si="23"/>
        <v/>
      </c>
      <c r="Q238" s="139" t="str">
        <f t="shared" si="24"/>
        <v/>
      </c>
      <c r="AA238" s="139" t="s">
        <v>2478</v>
      </c>
      <c r="AB238" s="139" t="s">
        <v>2479</v>
      </c>
    </row>
    <row r="239" spans="1:28">
      <c r="A239" s="149"/>
      <c r="B239" s="144" t="str">
        <f t="shared" si="20"/>
        <v/>
      </c>
      <c r="C239" s="149"/>
      <c r="D239" s="144" t="str">
        <f t="shared" si="21"/>
        <v/>
      </c>
      <c r="E239" s="183"/>
      <c r="F239" s="144" t="str">
        <f t="shared" si="22"/>
        <v/>
      </c>
      <c r="G239" s="182"/>
      <c r="H239" s="182"/>
      <c r="I239" s="182"/>
      <c r="J239" s="198"/>
      <c r="K239" s="197"/>
      <c r="L239" s="197"/>
      <c r="M239" s="198"/>
      <c r="N239" s="198"/>
      <c r="P239" s="139" t="str">
        <f t="shared" si="23"/>
        <v/>
      </c>
      <c r="Q239" s="139" t="str">
        <f t="shared" si="24"/>
        <v/>
      </c>
      <c r="AA239" s="139" t="s">
        <v>2480</v>
      </c>
      <c r="AB239" s="139" t="s">
        <v>2481</v>
      </c>
    </row>
    <row r="240" spans="1:28">
      <c r="A240" s="149"/>
      <c r="B240" s="144" t="str">
        <f t="shared" si="20"/>
        <v/>
      </c>
      <c r="C240" s="149"/>
      <c r="D240" s="144" t="str">
        <f t="shared" si="21"/>
        <v/>
      </c>
      <c r="E240" s="183"/>
      <c r="F240" s="144" t="str">
        <f t="shared" si="22"/>
        <v/>
      </c>
      <c r="G240" s="182"/>
      <c r="H240" s="182"/>
      <c r="I240" s="182"/>
      <c r="J240" s="198"/>
      <c r="K240" s="197"/>
      <c r="L240" s="197"/>
      <c r="M240" s="198"/>
      <c r="N240" s="198"/>
      <c r="P240" s="139" t="str">
        <f t="shared" si="23"/>
        <v/>
      </c>
      <c r="Q240" s="139" t="str">
        <f t="shared" si="24"/>
        <v/>
      </c>
      <c r="AA240" s="139" t="s">
        <v>2482</v>
      </c>
      <c r="AB240" s="139" t="s">
        <v>2483</v>
      </c>
    </row>
    <row r="241" spans="1:28">
      <c r="A241" s="149"/>
      <c r="B241" s="144" t="str">
        <f t="shared" si="20"/>
        <v/>
      </c>
      <c r="C241" s="149"/>
      <c r="D241" s="144" t="str">
        <f t="shared" si="21"/>
        <v/>
      </c>
      <c r="E241" s="183"/>
      <c r="F241" s="144" t="str">
        <f t="shared" si="22"/>
        <v/>
      </c>
      <c r="G241" s="182"/>
      <c r="H241" s="182"/>
      <c r="I241" s="182"/>
      <c r="J241" s="198"/>
      <c r="K241" s="197"/>
      <c r="L241" s="197"/>
      <c r="M241" s="198"/>
      <c r="N241" s="198"/>
      <c r="P241" s="139" t="str">
        <f t="shared" si="23"/>
        <v/>
      </c>
      <c r="Q241" s="139" t="str">
        <f t="shared" si="24"/>
        <v/>
      </c>
      <c r="AA241" s="139" t="s">
        <v>2484</v>
      </c>
      <c r="AB241" s="139" t="s">
        <v>2485</v>
      </c>
    </row>
    <row r="242" spans="1:28">
      <c r="A242" s="149"/>
      <c r="B242" s="144" t="str">
        <f t="shared" si="20"/>
        <v/>
      </c>
      <c r="C242" s="149"/>
      <c r="D242" s="144" t="str">
        <f t="shared" si="21"/>
        <v/>
      </c>
      <c r="E242" s="183"/>
      <c r="F242" s="144" t="str">
        <f t="shared" si="22"/>
        <v/>
      </c>
      <c r="G242" s="182"/>
      <c r="H242" s="182"/>
      <c r="I242" s="182"/>
      <c r="J242" s="198"/>
      <c r="K242" s="197"/>
      <c r="L242" s="197"/>
      <c r="M242" s="198"/>
      <c r="N242" s="198"/>
      <c r="P242" s="139" t="str">
        <f t="shared" si="23"/>
        <v/>
      </c>
      <c r="Q242" s="139" t="str">
        <f t="shared" si="24"/>
        <v/>
      </c>
      <c r="AA242" s="139" t="s">
        <v>856</v>
      </c>
      <c r="AB242" s="139" t="s">
        <v>857</v>
      </c>
    </row>
    <row r="243" spans="1:28">
      <c r="A243" s="149"/>
      <c r="B243" s="144" t="str">
        <f t="shared" si="20"/>
        <v/>
      </c>
      <c r="C243" s="149"/>
      <c r="D243" s="144" t="str">
        <f t="shared" si="21"/>
        <v/>
      </c>
      <c r="E243" s="183"/>
      <c r="F243" s="144" t="str">
        <f t="shared" si="22"/>
        <v/>
      </c>
      <c r="G243" s="182"/>
      <c r="H243" s="182"/>
      <c r="I243" s="182"/>
      <c r="J243" s="198"/>
      <c r="K243" s="197"/>
      <c r="L243" s="197"/>
      <c r="M243" s="198"/>
      <c r="N243" s="198"/>
      <c r="P243" s="139" t="str">
        <f t="shared" si="23"/>
        <v/>
      </c>
      <c r="Q243" s="139" t="str">
        <f t="shared" si="24"/>
        <v/>
      </c>
      <c r="AA243" s="139" t="s">
        <v>858</v>
      </c>
      <c r="AB243" s="139" t="s">
        <v>859</v>
      </c>
    </row>
    <row r="244" spans="1:28">
      <c r="A244" s="149"/>
      <c r="B244" s="144" t="str">
        <f t="shared" si="20"/>
        <v/>
      </c>
      <c r="C244" s="149"/>
      <c r="D244" s="144" t="str">
        <f t="shared" si="21"/>
        <v/>
      </c>
      <c r="E244" s="183"/>
      <c r="F244" s="144" t="str">
        <f t="shared" si="22"/>
        <v/>
      </c>
      <c r="G244" s="182"/>
      <c r="H244" s="182"/>
      <c r="I244" s="182"/>
      <c r="J244" s="198"/>
      <c r="K244" s="197"/>
      <c r="L244" s="197"/>
      <c r="M244" s="198"/>
      <c r="N244" s="198"/>
      <c r="P244" s="139" t="str">
        <f t="shared" si="23"/>
        <v/>
      </c>
      <c r="Q244" s="139" t="str">
        <f t="shared" si="24"/>
        <v/>
      </c>
      <c r="AA244" s="139" t="s">
        <v>1515</v>
      </c>
      <c r="AB244" s="139" t="s">
        <v>1516</v>
      </c>
    </row>
    <row r="245" spans="1:28">
      <c r="A245" s="149"/>
      <c r="B245" s="144" t="str">
        <f t="shared" si="20"/>
        <v/>
      </c>
      <c r="C245" s="149"/>
      <c r="D245" s="144" t="str">
        <f t="shared" si="21"/>
        <v/>
      </c>
      <c r="E245" s="183"/>
      <c r="F245" s="144" t="str">
        <f t="shared" si="22"/>
        <v/>
      </c>
      <c r="G245" s="182"/>
      <c r="H245" s="182"/>
      <c r="I245" s="182"/>
      <c r="J245" s="198"/>
      <c r="K245" s="197"/>
      <c r="L245" s="197"/>
      <c r="M245" s="198"/>
      <c r="N245" s="198"/>
      <c r="P245" s="139" t="str">
        <f t="shared" si="23"/>
        <v/>
      </c>
      <c r="Q245" s="139" t="str">
        <f t="shared" si="24"/>
        <v/>
      </c>
      <c r="AA245" s="139" t="s">
        <v>1517</v>
      </c>
      <c r="AB245" s="139" t="s">
        <v>1518</v>
      </c>
    </row>
    <row r="246" spans="1:28">
      <c r="A246" s="149"/>
      <c r="B246" s="144" t="str">
        <f t="shared" si="20"/>
        <v/>
      </c>
      <c r="C246" s="149"/>
      <c r="D246" s="144" t="str">
        <f t="shared" si="21"/>
        <v/>
      </c>
      <c r="E246" s="183"/>
      <c r="F246" s="144" t="str">
        <f t="shared" si="22"/>
        <v/>
      </c>
      <c r="G246" s="182"/>
      <c r="H246" s="182"/>
      <c r="I246" s="182"/>
      <c r="J246" s="198"/>
      <c r="K246" s="197"/>
      <c r="L246" s="197"/>
      <c r="M246" s="198"/>
      <c r="N246" s="198"/>
      <c r="P246" s="139" t="str">
        <f t="shared" si="23"/>
        <v/>
      </c>
      <c r="Q246" s="139" t="str">
        <f t="shared" si="24"/>
        <v/>
      </c>
      <c r="AA246" s="139" t="s">
        <v>2486</v>
      </c>
      <c r="AB246" s="139" t="s">
        <v>2487</v>
      </c>
    </row>
    <row r="247" spans="1:28">
      <c r="A247" s="149"/>
      <c r="B247" s="144" t="str">
        <f t="shared" si="20"/>
        <v/>
      </c>
      <c r="C247" s="149"/>
      <c r="D247" s="144" t="str">
        <f t="shared" si="21"/>
        <v/>
      </c>
      <c r="E247" s="183"/>
      <c r="F247" s="144" t="str">
        <f t="shared" si="22"/>
        <v/>
      </c>
      <c r="G247" s="182"/>
      <c r="H247" s="182"/>
      <c r="I247" s="182"/>
      <c r="J247" s="198"/>
      <c r="K247" s="197"/>
      <c r="L247" s="197"/>
      <c r="M247" s="198"/>
      <c r="N247" s="198"/>
      <c r="P247" s="139" t="str">
        <f t="shared" si="23"/>
        <v/>
      </c>
      <c r="Q247" s="139" t="str">
        <f t="shared" si="24"/>
        <v/>
      </c>
      <c r="AA247" s="139" t="s">
        <v>2488</v>
      </c>
      <c r="AB247" s="139" t="s">
        <v>2489</v>
      </c>
    </row>
    <row r="248" spans="1:28">
      <c r="A248" s="149"/>
      <c r="B248" s="144" t="str">
        <f t="shared" si="20"/>
        <v/>
      </c>
      <c r="C248" s="149"/>
      <c r="D248" s="144" t="str">
        <f t="shared" si="21"/>
        <v/>
      </c>
      <c r="E248" s="183"/>
      <c r="F248" s="144" t="str">
        <f t="shared" si="22"/>
        <v/>
      </c>
      <c r="G248" s="182"/>
      <c r="H248" s="182"/>
      <c r="I248" s="182"/>
      <c r="J248" s="198"/>
      <c r="K248" s="197"/>
      <c r="L248" s="197"/>
      <c r="M248" s="198"/>
      <c r="N248" s="198"/>
      <c r="P248" s="139" t="str">
        <f t="shared" si="23"/>
        <v/>
      </c>
      <c r="Q248" s="139" t="str">
        <f t="shared" si="24"/>
        <v/>
      </c>
      <c r="AA248" s="139" t="s">
        <v>2490</v>
      </c>
      <c r="AB248" s="139" t="s">
        <v>2491</v>
      </c>
    </row>
    <row r="249" spans="1:28">
      <c r="A249" s="149"/>
      <c r="B249" s="144" t="str">
        <f t="shared" si="20"/>
        <v/>
      </c>
      <c r="C249" s="149"/>
      <c r="D249" s="144" t="str">
        <f t="shared" si="21"/>
        <v/>
      </c>
      <c r="E249" s="183"/>
      <c r="F249" s="144" t="str">
        <f t="shared" si="22"/>
        <v/>
      </c>
      <c r="G249" s="182"/>
      <c r="H249" s="182"/>
      <c r="I249" s="182"/>
      <c r="J249" s="198"/>
      <c r="K249" s="197"/>
      <c r="L249" s="197"/>
      <c r="M249" s="198"/>
      <c r="N249" s="198"/>
      <c r="P249" s="139" t="str">
        <f t="shared" si="23"/>
        <v/>
      </c>
      <c r="Q249" s="139" t="str">
        <f t="shared" si="24"/>
        <v/>
      </c>
      <c r="AA249" s="139" t="s">
        <v>2492</v>
      </c>
      <c r="AB249" s="139" t="s">
        <v>2493</v>
      </c>
    </row>
    <row r="250" spans="1:28">
      <c r="A250" s="149"/>
      <c r="B250" s="144" t="str">
        <f t="shared" si="20"/>
        <v/>
      </c>
      <c r="C250" s="149"/>
      <c r="D250" s="144" t="str">
        <f t="shared" si="21"/>
        <v/>
      </c>
      <c r="E250" s="183"/>
      <c r="F250" s="144" t="str">
        <f t="shared" si="22"/>
        <v/>
      </c>
      <c r="G250" s="182"/>
      <c r="H250" s="182"/>
      <c r="I250" s="182"/>
      <c r="J250" s="198"/>
      <c r="K250" s="197"/>
      <c r="L250" s="197"/>
      <c r="M250" s="198"/>
      <c r="N250" s="198"/>
      <c r="P250" s="139" t="str">
        <f t="shared" si="23"/>
        <v/>
      </c>
      <c r="Q250" s="139" t="str">
        <f t="shared" si="24"/>
        <v/>
      </c>
      <c r="AA250" s="139" t="s">
        <v>2494</v>
      </c>
      <c r="AB250" s="139" t="s">
        <v>2495</v>
      </c>
    </row>
    <row r="251" spans="1:28">
      <c r="A251" s="149"/>
      <c r="B251" s="144" t="str">
        <f t="shared" si="20"/>
        <v/>
      </c>
      <c r="C251" s="149"/>
      <c r="D251" s="144" t="str">
        <f t="shared" si="21"/>
        <v/>
      </c>
      <c r="E251" s="183"/>
      <c r="F251" s="144" t="str">
        <f t="shared" si="22"/>
        <v/>
      </c>
      <c r="G251" s="182"/>
      <c r="H251" s="182"/>
      <c r="I251" s="182"/>
      <c r="J251" s="198"/>
      <c r="K251" s="197"/>
      <c r="L251" s="197"/>
      <c r="M251" s="198"/>
      <c r="N251" s="198"/>
      <c r="P251" s="139" t="str">
        <f t="shared" si="23"/>
        <v/>
      </c>
      <c r="Q251" s="139" t="str">
        <f t="shared" si="24"/>
        <v/>
      </c>
      <c r="AA251" s="139" t="s">
        <v>860</v>
      </c>
      <c r="AB251" s="139" t="s">
        <v>861</v>
      </c>
    </row>
    <row r="252" spans="1:28">
      <c r="A252" s="149"/>
      <c r="B252" s="144" t="str">
        <f t="shared" si="20"/>
        <v/>
      </c>
      <c r="C252" s="149"/>
      <c r="D252" s="144" t="str">
        <f t="shared" si="21"/>
        <v/>
      </c>
      <c r="E252" s="183"/>
      <c r="F252" s="144" t="str">
        <f t="shared" si="22"/>
        <v/>
      </c>
      <c r="G252" s="182"/>
      <c r="H252" s="182"/>
      <c r="I252" s="182"/>
      <c r="J252" s="198"/>
      <c r="K252" s="197"/>
      <c r="L252" s="197"/>
      <c r="M252" s="198"/>
      <c r="N252" s="198"/>
      <c r="P252" s="139" t="str">
        <f t="shared" si="23"/>
        <v/>
      </c>
      <c r="Q252" s="139" t="str">
        <f t="shared" si="24"/>
        <v/>
      </c>
      <c r="AA252" s="139" t="s">
        <v>862</v>
      </c>
      <c r="AB252" s="139" t="s">
        <v>863</v>
      </c>
    </row>
    <row r="253" spans="1:28">
      <c r="A253" s="149"/>
      <c r="B253" s="144" t="str">
        <f t="shared" si="20"/>
        <v/>
      </c>
      <c r="C253" s="149"/>
      <c r="D253" s="144" t="str">
        <f t="shared" si="21"/>
        <v/>
      </c>
      <c r="E253" s="183"/>
      <c r="F253" s="144" t="str">
        <f t="shared" si="22"/>
        <v/>
      </c>
      <c r="G253" s="182"/>
      <c r="H253" s="182"/>
      <c r="I253" s="182"/>
      <c r="J253" s="198"/>
      <c r="K253" s="197"/>
      <c r="L253" s="197"/>
      <c r="M253" s="198"/>
      <c r="N253" s="198"/>
      <c r="P253" s="139" t="str">
        <f t="shared" si="23"/>
        <v/>
      </c>
      <c r="Q253" s="139" t="str">
        <f t="shared" si="24"/>
        <v/>
      </c>
      <c r="AA253" s="139" t="s">
        <v>864</v>
      </c>
      <c r="AB253" s="139" t="s">
        <v>865</v>
      </c>
    </row>
    <row r="254" spans="1:28">
      <c r="A254" s="149"/>
      <c r="B254" s="144" t="str">
        <f t="shared" si="20"/>
        <v/>
      </c>
      <c r="C254" s="149"/>
      <c r="D254" s="144" t="str">
        <f t="shared" si="21"/>
        <v/>
      </c>
      <c r="E254" s="183"/>
      <c r="F254" s="144" t="str">
        <f t="shared" si="22"/>
        <v/>
      </c>
      <c r="G254" s="182"/>
      <c r="H254" s="182"/>
      <c r="I254" s="182"/>
      <c r="J254" s="198"/>
      <c r="K254" s="197"/>
      <c r="L254" s="197"/>
      <c r="M254" s="198"/>
      <c r="N254" s="198"/>
      <c r="P254" s="139" t="str">
        <f t="shared" si="23"/>
        <v/>
      </c>
      <c r="Q254" s="139" t="str">
        <f t="shared" si="24"/>
        <v/>
      </c>
      <c r="AA254" s="139" t="s">
        <v>2496</v>
      </c>
      <c r="AB254" s="139" t="s">
        <v>2497</v>
      </c>
    </row>
    <row r="255" spans="1:28">
      <c r="A255" s="149"/>
      <c r="B255" s="144" t="str">
        <f t="shared" si="20"/>
        <v/>
      </c>
      <c r="C255" s="149"/>
      <c r="D255" s="144" t="str">
        <f t="shared" si="21"/>
        <v/>
      </c>
      <c r="E255" s="183"/>
      <c r="F255" s="144" t="str">
        <f t="shared" si="22"/>
        <v/>
      </c>
      <c r="G255" s="182"/>
      <c r="H255" s="182"/>
      <c r="I255" s="182"/>
      <c r="J255" s="198"/>
      <c r="K255" s="197"/>
      <c r="L255" s="197"/>
      <c r="M255" s="198"/>
      <c r="N255" s="198"/>
      <c r="P255" s="139" t="str">
        <f t="shared" si="23"/>
        <v/>
      </c>
      <c r="Q255" s="139" t="str">
        <f t="shared" si="24"/>
        <v/>
      </c>
      <c r="AA255" s="139" t="s">
        <v>2498</v>
      </c>
      <c r="AB255" s="139" t="s">
        <v>2499</v>
      </c>
    </row>
    <row r="256" spans="1:28">
      <c r="A256" s="149"/>
      <c r="B256" s="144" t="str">
        <f t="shared" si="20"/>
        <v/>
      </c>
      <c r="C256" s="149"/>
      <c r="D256" s="144" t="str">
        <f t="shared" si="21"/>
        <v/>
      </c>
      <c r="E256" s="183"/>
      <c r="F256" s="144" t="str">
        <f t="shared" si="22"/>
        <v/>
      </c>
      <c r="G256" s="182"/>
      <c r="H256" s="182"/>
      <c r="I256" s="182"/>
      <c r="J256" s="198"/>
      <c r="K256" s="197"/>
      <c r="L256" s="197"/>
      <c r="M256" s="198"/>
      <c r="N256" s="198"/>
      <c r="P256" s="139" t="str">
        <f t="shared" si="23"/>
        <v/>
      </c>
      <c r="Q256" s="139" t="str">
        <f t="shared" si="24"/>
        <v/>
      </c>
      <c r="AA256" s="139" t="s">
        <v>2500</v>
      </c>
      <c r="AB256" s="139" t="s">
        <v>2501</v>
      </c>
    </row>
    <row r="257" spans="1:28">
      <c r="A257" s="149"/>
      <c r="B257" s="144" t="str">
        <f t="shared" si="20"/>
        <v/>
      </c>
      <c r="C257" s="149"/>
      <c r="D257" s="144" t="str">
        <f t="shared" si="21"/>
        <v/>
      </c>
      <c r="E257" s="183"/>
      <c r="F257" s="144" t="str">
        <f t="shared" si="22"/>
        <v/>
      </c>
      <c r="G257" s="182"/>
      <c r="H257" s="182"/>
      <c r="I257" s="182"/>
      <c r="J257" s="198"/>
      <c r="K257" s="197"/>
      <c r="L257" s="197"/>
      <c r="M257" s="198"/>
      <c r="N257" s="198"/>
      <c r="P257" s="139" t="str">
        <f t="shared" si="23"/>
        <v/>
      </c>
      <c r="Q257" s="139" t="str">
        <f t="shared" si="24"/>
        <v/>
      </c>
      <c r="AA257" s="139" t="s">
        <v>2502</v>
      </c>
      <c r="AB257" s="139" t="s">
        <v>2503</v>
      </c>
    </row>
    <row r="258" spans="1:28">
      <c r="A258" s="149"/>
      <c r="B258" s="144" t="str">
        <f t="shared" si="20"/>
        <v/>
      </c>
      <c r="C258" s="149"/>
      <c r="D258" s="144" t="str">
        <f t="shared" si="21"/>
        <v/>
      </c>
      <c r="E258" s="183"/>
      <c r="F258" s="144" t="str">
        <f t="shared" si="22"/>
        <v/>
      </c>
      <c r="G258" s="182"/>
      <c r="H258" s="182"/>
      <c r="I258" s="182"/>
      <c r="J258" s="198"/>
      <c r="K258" s="197"/>
      <c r="L258" s="197"/>
      <c r="M258" s="198"/>
      <c r="N258" s="198"/>
      <c r="P258" s="139" t="str">
        <f t="shared" si="23"/>
        <v/>
      </c>
      <c r="Q258" s="139" t="str">
        <f t="shared" si="24"/>
        <v/>
      </c>
      <c r="AA258" s="139" t="s">
        <v>2504</v>
      </c>
      <c r="AB258" s="139" t="s">
        <v>2505</v>
      </c>
    </row>
    <row r="259" spans="1:28">
      <c r="A259" s="149"/>
      <c r="B259" s="144" t="str">
        <f t="shared" si="20"/>
        <v/>
      </c>
      <c r="C259" s="149"/>
      <c r="D259" s="144" t="str">
        <f t="shared" si="21"/>
        <v/>
      </c>
      <c r="E259" s="183"/>
      <c r="F259" s="144" t="str">
        <f t="shared" si="22"/>
        <v/>
      </c>
      <c r="G259" s="182"/>
      <c r="H259" s="182"/>
      <c r="I259" s="182"/>
      <c r="J259" s="198"/>
      <c r="K259" s="197"/>
      <c r="L259" s="197"/>
      <c r="M259" s="198"/>
      <c r="N259" s="198"/>
      <c r="P259" s="139" t="str">
        <f t="shared" si="23"/>
        <v/>
      </c>
      <c r="Q259" s="139" t="str">
        <f t="shared" si="24"/>
        <v/>
      </c>
      <c r="AA259" s="139" t="s">
        <v>2506</v>
      </c>
      <c r="AB259" s="139" t="s">
        <v>2507</v>
      </c>
    </row>
    <row r="260" spans="1:28">
      <c r="A260" s="149"/>
      <c r="B260" s="144" t="str">
        <f t="shared" ref="B260:B323" si="25">IFERROR(VLOOKUP(A260,$R$6:$S$23,2,FALSE),"")</f>
        <v/>
      </c>
      <c r="C260" s="149"/>
      <c r="D260" s="144" t="str">
        <f t="shared" ref="D260:D323" si="26">IFERROR(VLOOKUP(C260,$U$5:$W$129,2,FALSE),"")</f>
        <v/>
      </c>
      <c r="E260" s="183"/>
      <c r="F260" s="144" t="str">
        <f t="shared" ref="F260:F323" si="27">IFERROR(VLOOKUP(E260,$AA$6:$AB$1018,2,FALSE),"")</f>
        <v/>
      </c>
      <c r="G260" s="182"/>
      <c r="H260" s="182"/>
      <c r="I260" s="182"/>
      <c r="J260" s="198"/>
      <c r="K260" s="197"/>
      <c r="L260" s="197"/>
      <c r="M260" s="198"/>
      <c r="N260" s="198"/>
      <c r="P260" s="139" t="str">
        <f t="shared" ref="P260:P323" si="28">LEFT(C260,3)</f>
        <v/>
      </c>
      <c r="Q260" s="139" t="str">
        <f t="shared" ref="Q260:Q323" si="29">LEFT(C260,2)</f>
        <v/>
      </c>
      <c r="AA260" s="139" t="s">
        <v>2508</v>
      </c>
      <c r="AB260" s="139" t="s">
        <v>2509</v>
      </c>
    </row>
    <row r="261" spans="1:28">
      <c r="A261" s="149"/>
      <c r="B261" s="144" t="str">
        <f t="shared" si="25"/>
        <v/>
      </c>
      <c r="C261" s="149"/>
      <c r="D261" s="144" t="str">
        <f t="shared" si="26"/>
        <v/>
      </c>
      <c r="E261" s="183"/>
      <c r="F261" s="144" t="str">
        <f t="shared" si="27"/>
        <v/>
      </c>
      <c r="G261" s="182"/>
      <c r="H261" s="182"/>
      <c r="I261" s="182"/>
      <c r="J261" s="198"/>
      <c r="K261" s="197"/>
      <c r="L261" s="197"/>
      <c r="M261" s="198"/>
      <c r="N261" s="198"/>
      <c r="P261" s="139" t="str">
        <f t="shared" si="28"/>
        <v/>
      </c>
      <c r="Q261" s="139" t="str">
        <f t="shared" si="29"/>
        <v/>
      </c>
      <c r="AA261" s="139" t="s">
        <v>2510</v>
      </c>
      <c r="AB261" s="139" t="s">
        <v>2511</v>
      </c>
    </row>
    <row r="262" spans="1:28">
      <c r="A262" s="149"/>
      <c r="B262" s="144" t="str">
        <f t="shared" si="25"/>
        <v/>
      </c>
      <c r="C262" s="149"/>
      <c r="D262" s="144" t="str">
        <f t="shared" si="26"/>
        <v/>
      </c>
      <c r="E262" s="183"/>
      <c r="F262" s="144" t="str">
        <f t="shared" si="27"/>
        <v/>
      </c>
      <c r="G262" s="182"/>
      <c r="H262" s="182"/>
      <c r="I262" s="182"/>
      <c r="J262" s="198"/>
      <c r="K262" s="197"/>
      <c r="L262" s="197"/>
      <c r="M262" s="198"/>
      <c r="N262" s="198"/>
      <c r="P262" s="139" t="str">
        <f t="shared" si="28"/>
        <v/>
      </c>
      <c r="Q262" s="139" t="str">
        <f t="shared" si="29"/>
        <v/>
      </c>
      <c r="AA262" s="139" t="s">
        <v>2512</v>
      </c>
      <c r="AB262" s="139" t="s">
        <v>2513</v>
      </c>
    </row>
    <row r="263" spans="1:28">
      <c r="A263" s="149"/>
      <c r="B263" s="144" t="str">
        <f t="shared" si="25"/>
        <v/>
      </c>
      <c r="C263" s="149"/>
      <c r="D263" s="144" t="str">
        <f t="shared" si="26"/>
        <v/>
      </c>
      <c r="E263" s="183"/>
      <c r="F263" s="144" t="str">
        <f t="shared" si="27"/>
        <v/>
      </c>
      <c r="G263" s="182"/>
      <c r="H263" s="182"/>
      <c r="I263" s="182"/>
      <c r="J263" s="198"/>
      <c r="K263" s="197"/>
      <c r="L263" s="197"/>
      <c r="M263" s="198"/>
      <c r="N263" s="198"/>
      <c r="P263" s="139" t="str">
        <f t="shared" si="28"/>
        <v/>
      </c>
      <c r="Q263" s="139" t="str">
        <f t="shared" si="29"/>
        <v/>
      </c>
      <c r="AA263" s="139" t="s">
        <v>2514</v>
      </c>
      <c r="AB263" s="139" t="s">
        <v>2515</v>
      </c>
    </row>
    <row r="264" spans="1:28">
      <c r="A264" s="149"/>
      <c r="B264" s="144" t="str">
        <f t="shared" si="25"/>
        <v/>
      </c>
      <c r="C264" s="149"/>
      <c r="D264" s="144" t="str">
        <f t="shared" si="26"/>
        <v/>
      </c>
      <c r="E264" s="183"/>
      <c r="F264" s="144" t="str">
        <f t="shared" si="27"/>
        <v/>
      </c>
      <c r="G264" s="182"/>
      <c r="H264" s="182"/>
      <c r="I264" s="182"/>
      <c r="J264" s="198"/>
      <c r="K264" s="197"/>
      <c r="L264" s="197"/>
      <c r="M264" s="198"/>
      <c r="N264" s="198"/>
      <c r="P264" s="139" t="str">
        <f t="shared" si="28"/>
        <v/>
      </c>
      <c r="Q264" s="139" t="str">
        <f t="shared" si="29"/>
        <v/>
      </c>
      <c r="AA264" s="139" t="s">
        <v>2516</v>
      </c>
      <c r="AB264" s="139" t="s">
        <v>2517</v>
      </c>
    </row>
    <row r="265" spans="1:28">
      <c r="A265" s="149"/>
      <c r="B265" s="144" t="str">
        <f t="shared" si="25"/>
        <v/>
      </c>
      <c r="C265" s="149"/>
      <c r="D265" s="144" t="str">
        <f t="shared" si="26"/>
        <v/>
      </c>
      <c r="E265" s="183"/>
      <c r="F265" s="144" t="str">
        <f t="shared" si="27"/>
        <v/>
      </c>
      <c r="G265" s="182"/>
      <c r="H265" s="182"/>
      <c r="I265" s="182"/>
      <c r="J265" s="198"/>
      <c r="K265" s="197"/>
      <c r="L265" s="197"/>
      <c r="M265" s="198"/>
      <c r="N265" s="198"/>
      <c r="P265" s="139" t="str">
        <f t="shared" si="28"/>
        <v/>
      </c>
      <c r="Q265" s="139" t="str">
        <f t="shared" si="29"/>
        <v/>
      </c>
      <c r="AA265" s="139" t="s">
        <v>2518</v>
      </c>
      <c r="AB265" s="139" t="s">
        <v>2519</v>
      </c>
    </row>
    <row r="266" spans="1:28">
      <c r="A266" s="149"/>
      <c r="B266" s="144" t="str">
        <f t="shared" si="25"/>
        <v/>
      </c>
      <c r="C266" s="149"/>
      <c r="D266" s="144" t="str">
        <f t="shared" si="26"/>
        <v/>
      </c>
      <c r="E266" s="183"/>
      <c r="F266" s="144" t="str">
        <f t="shared" si="27"/>
        <v/>
      </c>
      <c r="G266" s="182"/>
      <c r="H266" s="182"/>
      <c r="I266" s="182"/>
      <c r="J266" s="198"/>
      <c r="K266" s="197"/>
      <c r="L266" s="197"/>
      <c r="M266" s="198"/>
      <c r="N266" s="198"/>
      <c r="P266" s="139" t="str">
        <f t="shared" si="28"/>
        <v/>
      </c>
      <c r="Q266" s="139" t="str">
        <f t="shared" si="29"/>
        <v/>
      </c>
      <c r="AA266" s="139" t="s">
        <v>866</v>
      </c>
      <c r="AB266" s="139" t="s">
        <v>867</v>
      </c>
    </row>
    <row r="267" spans="1:28">
      <c r="A267" s="149"/>
      <c r="B267" s="144" t="str">
        <f t="shared" si="25"/>
        <v/>
      </c>
      <c r="C267" s="149"/>
      <c r="D267" s="144" t="str">
        <f t="shared" si="26"/>
        <v/>
      </c>
      <c r="E267" s="183"/>
      <c r="F267" s="144" t="str">
        <f t="shared" si="27"/>
        <v/>
      </c>
      <c r="G267" s="182"/>
      <c r="H267" s="182"/>
      <c r="I267" s="182"/>
      <c r="J267" s="198"/>
      <c r="K267" s="197"/>
      <c r="L267" s="197"/>
      <c r="M267" s="198"/>
      <c r="N267" s="198"/>
      <c r="P267" s="139" t="str">
        <f t="shared" si="28"/>
        <v/>
      </c>
      <c r="Q267" s="139" t="str">
        <f t="shared" si="29"/>
        <v/>
      </c>
      <c r="AA267" s="139" t="s">
        <v>868</v>
      </c>
      <c r="AB267" s="139" t="s">
        <v>869</v>
      </c>
    </row>
    <row r="268" spans="1:28">
      <c r="A268" s="149"/>
      <c r="B268" s="144" t="str">
        <f t="shared" si="25"/>
        <v/>
      </c>
      <c r="C268" s="149"/>
      <c r="D268" s="144" t="str">
        <f t="shared" si="26"/>
        <v/>
      </c>
      <c r="E268" s="183"/>
      <c r="F268" s="144" t="str">
        <f t="shared" si="27"/>
        <v/>
      </c>
      <c r="G268" s="182"/>
      <c r="H268" s="182"/>
      <c r="I268" s="182"/>
      <c r="J268" s="198"/>
      <c r="K268" s="197"/>
      <c r="L268" s="197"/>
      <c r="M268" s="198"/>
      <c r="N268" s="198"/>
      <c r="P268" s="139" t="str">
        <f t="shared" si="28"/>
        <v/>
      </c>
      <c r="Q268" s="139" t="str">
        <f t="shared" si="29"/>
        <v/>
      </c>
      <c r="AA268" s="139" t="s">
        <v>870</v>
      </c>
      <c r="AB268" s="139" t="s">
        <v>871</v>
      </c>
    </row>
    <row r="269" spans="1:28">
      <c r="A269" s="149"/>
      <c r="B269" s="144" t="str">
        <f t="shared" si="25"/>
        <v/>
      </c>
      <c r="C269" s="149"/>
      <c r="D269" s="144" t="str">
        <f t="shared" si="26"/>
        <v/>
      </c>
      <c r="E269" s="183"/>
      <c r="F269" s="144" t="str">
        <f t="shared" si="27"/>
        <v/>
      </c>
      <c r="G269" s="182"/>
      <c r="H269" s="182"/>
      <c r="I269" s="182"/>
      <c r="J269" s="198"/>
      <c r="K269" s="197"/>
      <c r="L269" s="197"/>
      <c r="M269" s="198"/>
      <c r="N269" s="198"/>
      <c r="P269" s="139" t="str">
        <f t="shared" si="28"/>
        <v/>
      </c>
      <c r="Q269" s="139" t="str">
        <f t="shared" si="29"/>
        <v/>
      </c>
      <c r="AA269" s="139" t="s">
        <v>872</v>
      </c>
      <c r="AB269" s="139" t="s">
        <v>873</v>
      </c>
    </row>
    <row r="270" spans="1:28">
      <c r="A270" s="149"/>
      <c r="B270" s="144" t="str">
        <f t="shared" si="25"/>
        <v/>
      </c>
      <c r="C270" s="149"/>
      <c r="D270" s="144" t="str">
        <f t="shared" si="26"/>
        <v/>
      </c>
      <c r="E270" s="183"/>
      <c r="F270" s="144" t="str">
        <f t="shared" si="27"/>
        <v/>
      </c>
      <c r="G270" s="182"/>
      <c r="H270" s="182"/>
      <c r="I270" s="182"/>
      <c r="J270" s="198"/>
      <c r="K270" s="197"/>
      <c r="L270" s="197"/>
      <c r="M270" s="198"/>
      <c r="N270" s="198"/>
      <c r="P270" s="139" t="str">
        <f t="shared" si="28"/>
        <v/>
      </c>
      <c r="Q270" s="139" t="str">
        <f t="shared" si="29"/>
        <v/>
      </c>
      <c r="AA270" s="139" t="s">
        <v>874</v>
      </c>
      <c r="AB270" s="139" t="s">
        <v>875</v>
      </c>
    </row>
    <row r="271" spans="1:28">
      <c r="A271" s="149"/>
      <c r="B271" s="144" t="str">
        <f t="shared" si="25"/>
        <v/>
      </c>
      <c r="C271" s="149"/>
      <c r="D271" s="144" t="str">
        <f t="shared" si="26"/>
        <v/>
      </c>
      <c r="E271" s="183"/>
      <c r="F271" s="144" t="str">
        <f t="shared" si="27"/>
        <v/>
      </c>
      <c r="G271" s="182"/>
      <c r="H271" s="182"/>
      <c r="I271" s="182"/>
      <c r="J271" s="198"/>
      <c r="K271" s="197"/>
      <c r="L271" s="197"/>
      <c r="M271" s="198"/>
      <c r="N271" s="198"/>
      <c r="P271" s="139" t="str">
        <f t="shared" si="28"/>
        <v/>
      </c>
      <c r="Q271" s="139" t="str">
        <f t="shared" si="29"/>
        <v/>
      </c>
      <c r="AA271" s="139" t="s">
        <v>876</v>
      </c>
      <c r="AB271" s="139" t="s">
        <v>877</v>
      </c>
    </row>
    <row r="272" spans="1:28">
      <c r="A272" s="149"/>
      <c r="B272" s="144" t="str">
        <f t="shared" si="25"/>
        <v/>
      </c>
      <c r="C272" s="149"/>
      <c r="D272" s="144" t="str">
        <f t="shared" si="26"/>
        <v/>
      </c>
      <c r="E272" s="183"/>
      <c r="F272" s="144" t="str">
        <f t="shared" si="27"/>
        <v/>
      </c>
      <c r="G272" s="182"/>
      <c r="H272" s="182"/>
      <c r="I272" s="182"/>
      <c r="J272" s="198"/>
      <c r="K272" s="197"/>
      <c r="L272" s="197"/>
      <c r="M272" s="198"/>
      <c r="N272" s="198"/>
      <c r="P272" s="139" t="str">
        <f t="shared" si="28"/>
        <v/>
      </c>
      <c r="Q272" s="139" t="str">
        <f t="shared" si="29"/>
        <v/>
      </c>
      <c r="AA272" s="139" t="s">
        <v>878</v>
      </c>
      <c r="AB272" s="139" t="s">
        <v>879</v>
      </c>
    </row>
    <row r="273" spans="1:28">
      <c r="A273" s="149"/>
      <c r="B273" s="144" t="str">
        <f t="shared" si="25"/>
        <v/>
      </c>
      <c r="C273" s="149"/>
      <c r="D273" s="144" t="str">
        <f t="shared" si="26"/>
        <v/>
      </c>
      <c r="E273" s="183"/>
      <c r="F273" s="144" t="str">
        <f t="shared" si="27"/>
        <v/>
      </c>
      <c r="G273" s="182"/>
      <c r="H273" s="182"/>
      <c r="I273" s="182"/>
      <c r="J273" s="198"/>
      <c r="K273" s="197"/>
      <c r="L273" s="197"/>
      <c r="M273" s="198"/>
      <c r="N273" s="198"/>
      <c r="P273" s="139" t="str">
        <f t="shared" si="28"/>
        <v/>
      </c>
      <c r="Q273" s="139" t="str">
        <f t="shared" si="29"/>
        <v/>
      </c>
      <c r="AA273" s="139" t="s">
        <v>880</v>
      </c>
      <c r="AB273" s="139" t="s">
        <v>881</v>
      </c>
    </row>
    <row r="274" spans="1:28">
      <c r="A274" s="149"/>
      <c r="B274" s="144" t="str">
        <f t="shared" si="25"/>
        <v/>
      </c>
      <c r="C274" s="149"/>
      <c r="D274" s="144" t="str">
        <f t="shared" si="26"/>
        <v/>
      </c>
      <c r="E274" s="183"/>
      <c r="F274" s="144" t="str">
        <f t="shared" si="27"/>
        <v/>
      </c>
      <c r="G274" s="182"/>
      <c r="H274" s="182"/>
      <c r="I274" s="182"/>
      <c r="J274" s="198"/>
      <c r="K274" s="197"/>
      <c r="L274" s="197"/>
      <c r="M274" s="198"/>
      <c r="N274" s="198"/>
      <c r="P274" s="139" t="str">
        <f t="shared" si="28"/>
        <v/>
      </c>
      <c r="Q274" s="139" t="str">
        <f t="shared" si="29"/>
        <v/>
      </c>
      <c r="AA274" s="139" t="s">
        <v>882</v>
      </c>
      <c r="AB274" s="139" t="s">
        <v>883</v>
      </c>
    </row>
    <row r="275" spans="1:28">
      <c r="A275" s="149"/>
      <c r="B275" s="144" t="str">
        <f t="shared" si="25"/>
        <v/>
      </c>
      <c r="C275" s="149"/>
      <c r="D275" s="144" t="str">
        <f t="shared" si="26"/>
        <v/>
      </c>
      <c r="E275" s="183"/>
      <c r="F275" s="144" t="str">
        <f t="shared" si="27"/>
        <v/>
      </c>
      <c r="G275" s="182"/>
      <c r="H275" s="182"/>
      <c r="I275" s="182"/>
      <c r="J275" s="198"/>
      <c r="K275" s="197"/>
      <c r="L275" s="197"/>
      <c r="M275" s="198"/>
      <c r="N275" s="198"/>
      <c r="P275" s="139" t="str">
        <f t="shared" si="28"/>
        <v/>
      </c>
      <c r="Q275" s="139" t="str">
        <f t="shared" si="29"/>
        <v/>
      </c>
      <c r="AA275" s="139" t="s">
        <v>884</v>
      </c>
      <c r="AB275" s="139" t="s">
        <v>885</v>
      </c>
    </row>
    <row r="276" spans="1:28">
      <c r="A276" s="149"/>
      <c r="B276" s="144" t="str">
        <f t="shared" si="25"/>
        <v/>
      </c>
      <c r="C276" s="149"/>
      <c r="D276" s="144" t="str">
        <f t="shared" si="26"/>
        <v/>
      </c>
      <c r="E276" s="183"/>
      <c r="F276" s="144" t="str">
        <f t="shared" si="27"/>
        <v/>
      </c>
      <c r="G276" s="182"/>
      <c r="H276" s="182"/>
      <c r="I276" s="182"/>
      <c r="J276" s="198"/>
      <c r="K276" s="197"/>
      <c r="L276" s="197"/>
      <c r="M276" s="198"/>
      <c r="N276" s="198"/>
      <c r="P276" s="139" t="str">
        <f t="shared" si="28"/>
        <v/>
      </c>
      <c r="Q276" s="139" t="str">
        <f t="shared" si="29"/>
        <v/>
      </c>
      <c r="AA276" s="139" t="s">
        <v>886</v>
      </c>
      <c r="AB276" s="139" t="s">
        <v>887</v>
      </c>
    </row>
    <row r="277" spans="1:28">
      <c r="A277" s="149"/>
      <c r="B277" s="144" t="str">
        <f t="shared" si="25"/>
        <v/>
      </c>
      <c r="C277" s="149"/>
      <c r="D277" s="144" t="str">
        <f t="shared" si="26"/>
        <v/>
      </c>
      <c r="E277" s="183"/>
      <c r="F277" s="144" t="str">
        <f t="shared" si="27"/>
        <v/>
      </c>
      <c r="G277" s="182"/>
      <c r="H277" s="182"/>
      <c r="I277" s="182"/>
      <c r="J277" s="198"/>
      <c r="K277" s="197"/>
      <c r="L277" s="197"/>
      <c r="M277" s="198"/>
      <c r="N277" s="198"/>
      <c r="P277" s="139" t="str">
        <f t="shared" si="28"/>
        <v/>
      </c>
      <c r="Q277" s="139" t="str">
        <f t="shared" si="29"/>
        <v/>
      </c>
      <c r="AA277" s="139" t="s">
        <v>888</v>
      </c>
      <c r="AB277" s="139" t="s">
        <v>889</v>
      </c>
    </row>
    <row r="278" spans="1:28">
      <c r="A278" s="149"/>
      <c r="B278" s="144" t="str">
        <f t="shared" si="25"/>
        <v/>
      </c>
      <c r="C278" s="149"/>
      <c r="D278" s="144" t="str">
        <f t="shared" si="26"/>
        <v/>
      </c>
      <c r="E278" s="183"/>
      <c r="F278" s="144" t="str">
        <f t="shared" si="27"/>
        <v/>
      </c>
      <c r="G278" s="182"/>
      <c r="H278" s="182"/>
      <c r="I278" s="182"/>
      <c r="J278" s="198"/>
      <c r="K278" s="197"/>
      <c r="L278" s="197"/>
      <c r="M278" s="198"/>
      <c r="N278" s="198"/>
      <c r="P278" s="139" t="str">
        <f t="shared" si="28"/>
        <v/>
      </c>
      <c r="Q278" s="139" t="str">
        <f t="shared" si="29"/>
        <v/>
      </c>
      <c r="AA278" s="139" t="s">
        <v>890</v>
      </c>
      <c r="AB278" s="139" t="s">
        <v>891</v>
      </c>
    </row>
    <row r="279" spans="1:28">
      <c r="A279" s="149"/>
      <c r="B279" s="144" t="str">
        <f t="shared" si="25"/>
        <v/>
      </c>
      <c r="C279" s="149"/>
      <c r="D279" s="144" t="str">
        <f t="shared" si="26"/>
        <v/>
      </c>
      <c r="E279" s="183"/>
      <c r="F279" s="144" t="str">
        <f t="shared" si="27"/>
        <v/>
      </c>
      <c r="G279" s="182"/>
      <c r="H279" s="182"/>
      <c r="I279" s="182"/>
      <c r="J279" s="198"/>
      <c r="K279" s="197"/>
      <c r="L279" s="197"/>
      <c r="M279" s="198"/>
      <c r="N279" s="198"/>
      <c r="P279" s="139" t="str">
        <f t="shared" si="28"/>
        <v/>
      </c>
      <c r="Q279" s="139" t="str">
        <f t="shared" si="29"/>
        <v/>
      </c>
      <c r="AA279" s="139" t="s">
        <v>892</v>
      </c>
      <c r="AB279" s="139" t="s">
        <v>893</v>
      </c>
    </row>
    <row r="280" spans="1:28">
      <c r="A280" s="149"/>
      <c r="B280" s="144" t="str">
        <f t="shared" si="25"/>
        <v/>
      </c>
      <c r="C280" s="149"/>
      <c r="D280" s="144" t="str">
        <f t="shared" si="26"/>
        <v/>
      </c>
      <c r="E280" s="183"/>
      <c r="F280" s="144" t="str">
        <f t="shared" si="27"/>
        <v/>
      </c>
      <c r="G280" s="182"/>
      <c r="H280" s="182"/>
      <c r="I280" s="182"/>
      <c r="J280" s="198"/>
      <c r="K280" s="197"/>
      <c r="L280" s="197"/>
      <c r="M280" s="198"/>
      <c r="N280" s="198"/>
      <c r="P280" s="139" t="str">
        <f t="shared" si="28"/>
        <v/>
      </c>
      <c r="Q280" s="139" t="str">
        <f t="shared" si="29"/>
        <v/>
      </c>
      <c r="AA280" s="139" t="s">
        <v>894</v>
      </c>
      <c r="AB280" s="139" t="s">
        <v>895</v>
      </c>
    </row>
    <row r="281" spans="1:28">
      <c r="A281" s="149"/>
      <c r="B281" s="144" t="str">
        <f t="shared" si="25"/>
        <v/>
      </c>
      <c r="C281" s="149"/>
      <c r="D281" s="144" t="str">
        <f t="shared" si="26"/>
        <v/>
      </c>
      <c r="E281" s="183"/>
      <c r="F281" s="144" t="str">
        <f t="shared" si="27"/>
        <v/>
      </c>
      <c r="G281" s="182"/>
      <c r="H281" s="182"/>
      <c r="I281" s="182"/>
      <c r="J281" s="198"/>
      <c r="K281" s="197"/>
      <c r="L281" s="197"/>
      <c r="M281" s="198"/>
      <c r="N281" s="198"/>
      <c r="P281" s="139" t="str">
        <f t="shared" si="28"/>
        <v/>
      </c>
      <c r="Q281" s="139" t="str">
        <f t="shared" si="29"/>
        <v/>
      </c>
      <c r="AA281" s="139" t="s">
        <v>896</v>
      </c>
      <c r="AB281" s="139" t="s">
        <v>897</v>
      </c>
    </row>
    <row r="282" spans="1:28">
      <c r="A282" s="149"/>
      <c r="B282" s="144" t="str">
        <f t="shared" si="25"/>
        <v/>
      </c>
      <c r="C282" s="149"/>
      <c r="D282" s="144" t="str">
        <f t="shared" si="26"/>
        <v/>
      </c>
      <c r="E282" s="183"/>
      <c r="F282" s="144" t="str">
        <f t="shared" si="27"/>
        <v/>
      </c>
      <c r="G282" s="182"/>
      <c r="H282" s="182"/>
      <c r="I282" s="182"/>
      <c r="J282" s="198"/>
      <c r="K282" s="197"/>
      <c r="L282" s="197"/>
      <c r="M282" s="198"/>
      <c r="N282" s="198"/>
      <c r="P282" s="139" t="str">
        <f t="shared" si="28"/>
        <v/>
      </c>
      <c r="Q282" s="139" t="str">
        <f t="shared" si="29"/>
        <v/>
      </c>
      <c r="AA282" s="139" t="s">
        <v>898</v>
      </c>
      <c r="AB282" s="139" t="s">
        <v>899</v>
      </c>
    </row>
    <row r="283" spans="1:28">
      <c r="A283" s="149"/>
      <c r="B283" s="144" t="str">
        <f t="shared" si="25"/>
        <v/>
      </c>
      <c r="C283" s="149"/>
      <c r="D283" s="144" t="str">
        <f t="shared" si="26"/>
        <v/>
      </c>
      <c r="E283" s="183"/>
      <c r="F283" s="144" t="str">
        <f t="shared" si="27"/>
        <v/>
      </c>
      <c r="G283" s="182"/>
      <c r="H283" s="182"/>
      <c r="I283" s="182"/>
      <c r="J283" s="198"/>
      <c r="K283" s="197"/>
      <c r="L283" s="197"/>
      <c r="M283" s="198"/>
      <c r="N283" s="198"/>
      <c r="P283" s="139" t="str">
        <f t="shared" si="28"/>
        <v/>
      </c>
      <c r="Q283" s="139" t="str">
        <f t="shared" si="29"/>
        <v/>
      </c>
      <c r="AA283" s="139" t="s">
        <v>900</v>
      </c>
      <c r="AB283" s="139" t="s">
        <v>901</v>
      </c>
    </row>
    <row r="284" spans="1:28">
      <c r="A284" s="149"/>
      <c r="B284" s="144" t="str">
        <f t="shared" si="25"/>
        <v/>
      </c>
      <c r="C284" s="149"/>
      <c r="D284" s="144" t="str">
        <f t="shared" si="26"/>
        <v/>
      </c>
      <c r="E284" s="183"/>
      <c r="F284" s="144" t="str">
        <f t="shared" si="27"/>
        <v/>
      </c>
      <c r="G284" s="182"/>
      <c r="H284" s="182"/>
      <c r="I284" s="182"/>
      <c r="J284" s="198"/>
      <c r="K284" s="197"/>
      <c r="L284" s="197"/>
      <c r="M284" s="198"/>
      <c r="N284" s="198"/>
      <c r="P284" s="139" t="str">
        <f t="shared" si="28"/>
        <v/>
      </c>
      <c r="Q284" s="139" t="str">
        <f t="shared" si="29"/>
        <v/>
      </c>
      <c r="AA284" s="139" t="s">
        <v>902</v>
      </c>
      <c r="AB284" s="139" t="s">
        <v>903</v>
      </c>
    </row>
    <row r="285" spans="1:28">
      <c r="A285" s="149"/>
      <c r="B285" s="144" t="str">
        <f t="shared" si="25"/>
        <v/>
      </c>
      <c r="C285" s="149"/>
      <c r="D285" s="144" t="str">
        <f t="shared" si="26"/>
        <v/>
      </c>
      <c r="E285" s="183"/>
      <c r="F285" s="144" t="str">
        <f t="shared" si="27"/>
        <v/>
      </c>
      <c r="G285" s="182"/>
      <c r="H285" s="182"/>
      <c r="I285" s="182"/>
      <c r="J285" s="198"/>
      <c r="K285" s="197"/>
      <c r="L285" s="197"/>
      <c r="M285" s="198"/>
      <c r="N285" s="198"/>
      <c r="P285" s="139" t="str">
        <f t="shared" si="28"/>
        <v/>
      </c>
      <c r="Q285" s="139" t="str">
        <f t="shared" si="29"/>
        <v/>
      </c>
      <c r="AA285" s="139" t="s">
        <v>904</v>
      </c>
      <c r="AB285" s="139" t="s">
        <v>905</v>
      </c>
    </row>
    <row r="286" spans="1:28">
      <c r="A286" s="149"/>
      <c r="B286" s="144" t="str">
        <f t="shared" si="25"/>
        <v/>
      </c>
      <c r="C286" s="149"/>
      <c r="D286" s="144" t="str">
        <f t="shared" si="26"/>
        <v/>
      </c>
      <c r="E286" s="183"/>
      <c r="F286" s="144" t="str">
        <f t="shared" si="27"/>
        <v/>
      </c>
      <c r="G286" s="182"/>
      <c r="H286" s="182"/>
      <c r="I286" s="182"/>
      <c r="J286" s="198"/>
      <c r="K286" s="197"/>
      <c r="L286" s="197"/>
      <c r="M286" s="198"/>
      <c r="N286" s="198"/>
      <c r="P286" s="139" t="str">
        <f t="shared" si="28"/>
        <v/>
      </c>
      <c r="Q286" s="139" t="str">
        <f t="shared" si="29"/>
        <v/>
      </c>
      <c r="AA286" s="139" t="s">
        <v>906</v>
      </c>
      <c r="AB286" s="139" t="s">
        <v>907</v>
      </c>
    </row>
    <row r="287" spans="1:28">
      <c r="A287" s="149"/>
      <c r="B287" s="144" t="str">
        <f t="shared" si="25"/>
        <v/>
      </c>
      <c r="C287" s="149"/>
      <c r="D287" s="144" t="str">
        <f t="shared" si="26"/>
        <v/>
      </c>
      <c r="E287" s="183"/>
      <c r="F287" s="144" t="str">
        <f t="shared" si="27"/>
        <v/>
      </c>
      <c r="G287" s="182"/>
      <c r="H287" s="182"/>
      <c r="I287" s="182"/>
      <c r="J287" s="198"/>
      <c r="K287" s="197"/>
      <c r="L287" s="197"/>
      <c r="M287" s="198"/>
      <c r="N287" s="198"/>
      <c r="P287" s="139" t="str">
        <f t="shared" si="28"/>
        <v/>
      </c>
      <c r="Q287" s="139" t="str">
        <f t="shared" si="29"/>
        <v/>
      </c>
      <c r="AA287" s="139" t="s">
        <v>908</v>
      </c>
      <c r="AB287" s="139" t="s">
        <v>909</v>
      </c>
    </row>
    <row r="288" spans="1:28">
      <c r="A288" s="149"/>
      <c r="B288" s="144" t="str">
        <f t="shared" si="25"/>
        <v/>
      </c>
      <c r="C288" s="149"/>
      <c r="D288" s="144" t="str">
        <f t="shared" si="26"/>
        <v/>
      </c>
      <c r="E288" s="183"/>
      <c r="F288" s="144" t="str">
        <f t="shared" si="27"/>
        <v/>
      </c>
      <c r="G288" s="182"/>
      <c r="H288" s="182"/>
      <c r="I288" s="182"/>
      <c r="J288" s="198"/>
      <c r="K288" s="197"/>
      <c r="L288" s="197"/>
      <c r="M288" s="198"/>
      <c r="N288" s="198"/>
      <c r="P288" s="139" t="str">
        <f t="shared" si="28"/>
        <v/>
      </c>
      <c r="Q288" s="139" t="str">
        <f t="shared" si="29"/>
        <v/>
      </c>
      <c r="AA288" s="139" t="s">
        <v>910</v>
      </c>
      <c r="AB288" s="139" t="s">
        <v>909</v>
      </c>
    </row>
    <row r="289" spans="1:28">
      <c r="A289" s="149"/>
      <c r="B289" s="144" t="str">
        <f t="shared" si="25"/>
        <v/>
      </c>
      <c r="C289" s="149"/>
      <c r="D289" s="144" t="str">
        <f t="shared" si="26"/>
        <v/>
      </c>
      <c r="E289" s="183"/>
      <c r="F289" s="144" t="str">
        <f t="shared" si="27"/>
        <v/>
      </c>
      <c r="G289" s="182"/>
      <c r="H289" s="182"/>
      <c r="I289" s="182"/>
      <c r="J289" s="198"/>
      <c r="K289" s="197"/>
      <c r="L289" s="197"/>
      <c r="M289" s="198"/>
      <c r="N289" s="198"/>
      <c r="P289" s="139" t="str">
        <f t="shared" si="28"/>
        <v/>
      </c>
      <c r="Q289" s="139" t="str">
        <f t="shared" si="29"/>
        <v/>
      </c>
      <c r="AA289" s="139" t="s">
        <v>911</v>
      </c>
      <c r="AB289" s="139" t="s">
        <v>912</v>
      </c>
    </row>
    <row r="290" spans="1:28">
      <c r="A290" s="149"/>
      <c r="B290" s="144" t="str">
        <f t="shared" si="25"/>
        <v/>
      </c>
      <c r="C290" s="149"/>
      <c r="D290" s="144" t="str">
        <f t="shared" si="26"/>
        <v/>
      </c>
      <c r="E290" s="183"/>
      <c r="F290" s="144" t="str">
        <f t="shared" si="27"/>
        <v/>
      </c>
      <c r="G290" s="182"/>
      <c r="H290" s="182"/>
      <c r="I290" s="182"/>
      <c r="J290" s="198"/>
      <c r="K290" s="197"/>
      <c r="L290" s="197"/>
      <c r="M290" s="198"/>
      <c r="N290" s="198"/>
      <c r="P290" s="139" t="str">
        <f t="shared" si="28"/>
        <v/>
      </c>
      <c r="Q290" s="139" t="str">
        <f t="shared" si="29"/>
        <v/>
      </c>
      <c r="AA290" s="139" t="s">
        <v>913</v>
      </c>
      <c r="AB290" s="139" t="s">
        <v>912</v>
      </c>
    </row>
    <row r="291" spans="1:28">
      <c r="A291" s="149"/>
      <c r="B291" s="144" t="str">
        <f t="shared" si="25"/>
        <v/>
      </c>
      <c r="C291" s="149"/>
      <c r="D291" s="144" t="str">
        <f t="shared" si="26"/>
        <v/>
      </c>
      <c r="E291" s="183"/>
      <c r="F291" s="144" t="str">
        <f t="shared" si="27"/>
        <v/>
      </c>
      <c r="G291" s="182"/>
      <c r="H291" s="182"/>
      <c r="I291" s="182"/>
      <c r="J291" s="198"/>
      <c r="K291" s="197"/>
      <c r="L291" s="197"/>
      <c r="M291" s="198"/>
      <c r="N291" s="198"/>
      <c r="P291" s="139" t="str">
        <f t="shared" si="28"/>
        <v/>
      </c>
      <c r="Q291" s="139" t="str">
        <f t="shared" si="29"/>
        <v/>
      </c>
      <c r="AA291" s="139" t="s">
        <v>1519</v>
      </c>
      <c r="AB291" s="139" t="s">
        <v>1520</v>
      </c>
    </row>
    <row r="292" spans="1:28">
      <c r="A292" s="149"/>
      <c r="B292" s="144" t="str">
        <f t="shared" si="25"/>
        <v/>
      </c>
      <c r="C292" s="149"/>
      <c r="D292" s="144" t="str">
        <f t="shared" si="26"/>
        <v/>
      </c>
      <c r="E292" s="183"/>
      <c r="F292" s="144" t="str">
        <f t="shared" si="27"/>
        <v/>
      </c>
      <c r="G292" s="182"/>
      <c r="H292" s="182"/>
      <c r="I292" s="182"/>
      <c r="J292" s="198"/>
      <c r="K292" s="197"/>
      <c r="L292" s="197"/>
      <c r="M292" s="198"/>
      <c r="N292" s="198"/>
      <c r="P292" s="139" t="str">
        <f t="shared" si="28"/>
        <v/>
      </c>
      <c r="Q292" s="139" t="str">
        <f t="shared" si="29"/>
        <v/>
      </c>
      <c r="AA292" s="139" t="s">
        <v>1521</v>
      </c>
      <c r="AB292" s="139" t="s">
        <v>1522</v>
      </c>
    </row>
    <row r="293" spans="1:28">
      <c r="A293" s="149"/>
      <c r="B293" s="144" t="str">
        <f t="shared" si="25"/>
        <v/>
      </c>
      <c r="C293" s="149"/>
      <c r="D293" s="144" t="str">
        <f t="shared" si="26"/>
        <v/>
      </c>
      <c r="E293" s="183"/>
      <c r="F293" s="144" t="str">
        <f t="shared" si="27"/>
        <v/>
      </c>
      <c r="G293" s="182"/>
      <c r="H293" s="182"/>
      <c r="I293" s="182"/>
      <c r="J293" s="198"/>
      <c r="K293" s="197"/>
      <c r="L293" s="197"/>
      <c r="M293" s="198"/>
      <c r="N293" s="198"/>
      <c r="P293" s="139" t="str">
        <f t="shared" si="28"/>
        <v/>
      </c>
      <c r="Q293" s="139" t="str">
        <f t="shared" si="29"/>
        <v/>
      </c>
      <c r="AA293" s="139" t="s">
        <v>1523</v>
      </c>
      <c r="AB293" s="139" t="s">
        <v>1524</v>
      </c>
    </row>
    <row r="294" spans="1:28">
      <c r="A294" s="149"/>
      <c r="B294" s="144" t="str">
        <f t="shared" si="25"/>
        <v/>
      </c>
      <c r="C294" s="149"/>
      <c r="D294" s="144" t="str">
        <f t="shared" si="26"/>
        <v/>
      </c>
      <c r="E294" s="183"/>
      <c r="F294" s="144" t="str">
        <f t="shared" si="27"/>
        <v/>
      </c>
      <c r="G294" s="182"/>
      <c r="H294" s="182"/>
      <c r="I294" s="182"/>
      <c r="J294" s="198"/>
      <c r="K294" s="197"/>
      <c r="L294" s="197"/>
      <c r="M294" s="198"/>
      <c r="N294" s="198"/>
      <c r="P294" s="139" t="str">
        <f t="shared" si="28"/>
        <v/>
      </c>
      <c r="Q294" s="139" t="str">
        <f t="shared" si="29"/>
        <v/>
      </c>
      <c r="AA294" s="139" t="s">
        <v>1525</v>
      </c>
      <c r="AB294" s="139" t="s">
        <v>1526</v>
      </c>
    </row>
    <row r="295" spans="1:28">
      <c r="A295" s="149"/>
      <c r="B295" s="144" t="str">
        <f t="shared" si="25"/>
        <v/>
      </c>
      <c r="C295" s="149"/>
      <c r="D295" s="144" t="str">
        <f t="shared" si="26"/>
        <v/>
      </c>
      <c r="E295" s="183"/>
      <c r="F295" s="144" t="str">
        <f t="shared" si="27"/>
        <v/>
      </c>
      <c r="G295" s="182"/>
      <c r="H295" s="182"/>
      <c r="I295" s="182"/>
      <c r="J295" s="198"/>
      <c r="K295" s="197"/>
      <c r="L295" s="197"/>
      <c r="M295" s="198"/>
      <c r="N295" s="198"/>
      <c r="P295" s="139" t="str">
        <f t="shared" si="28"/>
        <v/>
      </c>
      <c r="Q295" s="139" t="str">
        <f t="shared" si="29"/>
        <v/>
      </c>
      <c r="AA295" s="139" t="s">
        <v>1527</v>
      </c>
      <c r="AB295" s="139" t="s">
        <v>1528</v>
      </c>
    </row>
    <row r="296" spans="1:28">
      <c r="A296" s="149"/>
      <c r="B296" s="144" t="str">
        <f t="shared" si="25"/>
        <v/>
      </c>
      <c r="C296" s="149"/>
      <c r="D296" s="144" t="str">
        <f t="shared" si="26"/>
        <v/>
      </c>
      <c r="E296" s="183"/>
      <c r="F296" s="144" t="str">
        <f t="shared" si="27"/>
        <v/>
      </c>
      <c r="G296" s="182"/>
      <c r="H296" s="182"/>
      <c r="I296" s="182"/>
      <c r="J296" s="198"/>
      <c r="K296" s="197"/>
      <c r="L296" s="197"/>
      <c r="M296" s="198"/>
      <c r="N296" s="198"/>
      <c r="P296" s="139" t="str">
        <f t="shared" si="28"/>
        <v/>
      </c>
      <c r="Q296" s="139" t="str">
        <f t="shared" si="29"/>
        <v/>
      </c>
      <c r="AA296" s="139" t="s">
        <v>1529</v>
      </c>
      <c r="AB296" s="139" t="s">
        <v>1530</v>
      </c>
    </row>
    <row r="297" spans="1:28">
      <c r="A297" s="149"/>
      <c r="B297" s="144" t="str">
        <f t="shared" si="25"/>
        <v/>
      </c>
      <c r="C297" s="149"/>
      <c r="D297" s="144" t="str">
        <f t="shared" si="26"/>
        <v/>
      </c>
      <c r="E297" s="183"/>
      <c r="F297" s="144" t="str">
        <f t="shared" si="27"/>
        <v/>
      </c>
      <c r="G297" s="182"/>
      <c r="H297" s="182"/>
      <c r="I297" s="182"/>
      <c r="J297" s="198"/>
      <c r="K297" s="197"/>
      <c r="L297" s="197"/>
      <c r="M297" s="198"/>
      <c r="N297" s="198"/>
      <c r="P297" s="139" t="str">
        <f t="shared" si="28"/>
        <v/>
      </c>
      <c r="Q297" s="139" t="str">
        <f t="shared" si="29"/>
        <v/>
      </c>
      <c r="AA297" s="139" t="s">
        <v>1531</v>
      </c>
      <c r="AB297" s="139" t="s">
        <v>1532</v>
      </c>
    </row>
    <row r="298" spans="1:28">
      <c r="A298" s="149"/>
      <c r="B298" s="144" t="str">
        <f t="shared" si="25"/>
        <v/>
      </c>
      <c r="C298" s="149"/>
      <c r="D298" s="144" t="str">
        <f t="shared" si="26"/>
        <v/>
      </c>
      <c r="E298" s="183"/>
      <c r="F298" s="144" t="str">
        <f t="shared" si="27"/>
        <v/>
      </c>
      <c r="G298" s="182"/>
      <c r="H298" s="182"/>
      <c r="I298" s="182"/>
      <c r="J298" s="198"/>
      <c r="K298" s="197"/>
      <c r="L298" s="197"/>
      <c r="M298" s="198"/>
      <c r="N298" s="198"/>
      <c r="P298" s="139" t="str">
        <f t="shared" si="28"/>
        <v/>
      </c>
      <c r="Q298" s="139" t="str">
        <f t="shared" si="29"/>
        <v/>
      </c>
      <c r="AA298" s="139" t="s">
        <v>1533</v>
      </c>
      <c r="AB298" s="139" t="s">
        <v>1534</v>
      </c>
    </row>
    <row r="299" spans="1:28">
      <c r="A299" s="149"/>
      <c r="B299" s="144" t="str">
        <f t="shared" si="25"/>
        <v/>
      </c>
      <c r="C299" s="149"/>
      <c r="D299" s="144" t="str">
        <f t="shared" si="26"/>
        <v/>
      </c>
      <c r="E299" s="183"/>
      <c r="F299" s="144" t="str">
        <f t="shared" si="27"/>
        <v/>
      </c>
      <c r="G299" s="182"/>
      <c r="H299" s="182"/>
      <c r="I299" s="182"/>
      <c r="J299" s="198"/>
      <c r="K299" s="197"/>
      <c r="L299" s="197"/>
      <c r="M299" s="198"/>
      <c r="N299" s="198"/>
      <c r="P299" s="139" t="str">
        <f t="shared" si="28"/>
        <v/>
      </c>
      <c r="Q299" s="139" t="str">
        <f t="shared" si="29"/>
        <v/>
      </c>
      <c r="AA299" s="139" t="s">
        <v>1535</v>
      </c>
      <c r="AB299" s="139" t="s">
        <v>1536</v>
      </c>
    </row>
    <row r="300" spans="1:28">
      <c r="A300" s="149"/>
      <c r="B300" s="144" t="str">
        <f t="shared" si="25"/>
        <v/>
      </c>
      <c r="C300" s="149"/>
      <c r="D300" s="144" t="str">
        <f t="shared" si="26"/>
        <v/>
      </c>
      <c r="E300" s="183"/>
      <c r="F300" s="144" t="str">
        <f t="shared" si="27"/>
        <v/>
      </c>
      <c r="G300" s="182"/>
      <c r="H300" s="182"/>
      <c r="I300" s="182"/>
      <c r="J300" s="198"/>
      <c r="K300" s="197"/>
      <c r="L300" s="197"/>
      <c r="M300" s="198"/>
      <c r="N300" s="198"/>
      <c r="P300" s="139" t="str">
        <f t="shared" si="28"/>
        <v/>
      </c>
      <c r="Q300" s="139" t="str">
        <f t="shared" si="29"/>
        <v/>
      </c>
      <c r="AA300" s="139" t="s">
        <v>1537</v>
      </c>
      <c r="AB300" s="139" t="s">
        <v>1538</v>
      </c>
    </row>
    <row r="301" spans="1:28">
      <c r="A301" s="149"/>
      <c r="B301" s="144" t="str">
        <f t="shared" si="25"/>
        <v/>
      </c>
      <c r="C301" s="149"/>
      <c r="D301" s="144" t="str">
        <f t="shared" si="26"/>
        <v/>
      </c>
      <c r="E301" s="183"/>
      <c r="F301" s="144" t="str">
        <f t="shared" si="27"/>
        <v/>
      </c>
      <c r="G301" s="182"/>
      <c r="H301" s="182"/>
      <c r="I301" s="182"/>
      <c r="J301" s="198"/>
      <c r="K301" s="197"/>
      <c r="L301" s="197"/>
      <c r="M301" s="198"/>
      <c r="N301" s="198"/>
      <c r="P301" s="139" t="str">
        <f t="shared" si="28"/>
        <v/>
      </c>
      <c r="Q301" s="139" t="str">
        <f t="shared" si="29"/>
        <v/>
      </c>
      <c r="AA301" s="139" t="s">
        <v>1539</v>
      </c>
      <c r="AB301" s="139" t="s">
        <v>1540</v>
      </c>
    </row>
    <row r="302" spans="1:28">
      <c r="A302" s="149"/>
      <c r="B302" s="144" t="str">
        <f t="shared" si="25"/>
        <v/>
      </c>
      <c r="C302" s="149"/>
      <c r="D302" s="144" t="str">
        <f t="shared" si="26"/>
        <v/>
      </c>
      <c r="E302" s="183"/>
      <c r="F302" s="144" t="str">
        <f t="shared" si="27"/>
        <v/>
      </c>
      <c r="G302" s="182"/>
      <c r="H302" s="182"/>
      <c r="I302" s="182"/>
      <c r="J302" s="198"/>
      <c r="K302" s="197"/>
      <c r="L302" s="197"/>
      <c r="M302" s="198"/>
      <c r="N302" s="198"/>
      <c r="P302" s="139" t="str">
        <f t="shared" si="28"/>
        <v/>
      </c>
      <c r="Q302" s="139" t="str">
        <f t="shared" si="29"/>
        <v/>
      </c>
      <c r="AA302" s="139" t="s">
        <v>1541</v>
      </c>
      <c r="AB302" s="139" t="s">
        <v>1542</v>
      </c>
    </row>
    <row r="303" spans="1:28">
      <c r="A303" s="149"/>
      <c r="B303" s="144" t="str">
        <f t="shared" si="25"/>
        <v/>
      </c>
      <c r="C303" s="149"/>
      <c r="D303" s="144" t="str">
        <f t="shared" si="26"/>
        <v/>
      </c>
      <c r="E303" s="183"/>
      <c r="F303" s="144" t="str">
        <f t="shared" si="27"/>
        <v/>
      </c>
      <c r="G303" s="182"/>
      <c r="H303" s="182"/>
      <c r="I303" s="182"/>
      <c r="J303" s="198"/>
      <c r="K303" s="197"/>
      <c r="L303" s="197"/>
      <c r="M303" s="198"/>
      <c r="N303" s="198"/>
      <c r="P303" s="139" t="str">
        <f t="shared" si="28"/>
        <v/>
      </c>
      <c r="Q303" s="139" t="str">
        <f t="shared" si="29"/>
        <v/>
      </c>
      <c r="AA303" s="139" t="s">
        <v>1543</v>
      </c>
      <c r="AB303" s="139" t="s">
        <v>1544</v>
      </c>
    </row>
    <row r="304" spans="1:28">
      <c r="A304" s="149"/>
      <c r="B304" s="144" t="str">
        <f t="shared" si="25"/>
        <v/>
      </c>
      <c r="C304" s="149"/>
      <c r="D304" s="144" t="str">
        <f t="shared" si="26"/>
        <v/>
      </c>
      <c r="E304" s="183"/>
      <c r="F304" s="144" t="str">
        <f t="shared" si="27"/>
        <v/>
      </c>
      <c r="G304" s="182"/>
      <c r="H304" s="182"/>
      <c r="I304" s="182"/>
      <c r="J304" s="198"/>
      <c r="K304" s="197"/>
      <c r="L304" s="197"/>
      <c r="M304" s="198"/>
      <c r="N304" s="198"/>
      <c r="P304" s="139" t="str">
        <f t="shared" si="28"/>
        <v/>
      </c>
      <c r="Q304" s="139" t="str">
        <f t="shared" si="29"/>
        <v/>
      </c>
      <c r="AA304" s="139" t="s">
        <v>1545</v>
      </c>
      <c r="AB304" s="139" t="s">
        <v>1546</v>
      </c>
    </row>
    <row r="305" spans="1:28">
      <c r="A305" s="149"/>
      <c r="B305" s="144" t="str">
        <f t="shared" si="25"/>
        <v/>
      </c>
      <c r="C305" s="149"/>
      <c r="D305" s="144" t="str">
        <f t="shared" si="26"/>
        <v/>
      </c>
      <c r="E305" s="183"/>
      <c r="F305" s="144" t="str">
        <f t="shared" si="27"/>
        <v/>
      </c>
      <c r="G305" s="182"/>
      <c r="H305" s="182"/>
      <c r="I305" s="182"/>
      <c r="J305" s="198"/>
      <c r="K305" s="197"/>
      <c r="L305" s="197"/>
      <c r="M305" s="198"/>
      <c r="N305" s="198"/>
      <c r="P305" s="139" t="str">
        <f t="shared" si="28"/>
        <v/>
      </c>
      <c r="Q305" s="139" t="str">
        <f t="shared" si="29"/>
        <v/>
      </c>
      <c r="AA305" s="139" t="s">
        <v>1547</v>
      </c>
      <c r="AB305" s="139" t="s">
        <v>1548</v>
      </c>
    </row>
    <row r="306" spans="1:28">
      <c r="A306" s="149"/>
      <c r="B306" s="144" t="str">
        <f t="shared" si="25"/>
        <v/>
      </c>
      <c r="C306" s="149"/>
      <c r="D306" s="144" t="str">
        <f t="shared" si="26"/>
        <v/>
      </c>
      <c r="E306" s="183"/>
      <c r="F306" s="144" t="str">
        <f t="shared" si="27"/>
        <v/>
      </c>
      <c r="G306" s="182"/>
      <c r="H306" s="182"/>
      <c r="I306" s="182"/>
      <c r="J306" s="198"/>
      <c r="K306" s="197"/>
      <c r="L306" s="197"/>
      <c r="M306" s="198"/>
      <c r="N306" s="198"/>
      <c r="P306" s="139" t="str">
        <f t="shared" si="28"/>
        <v/>
      </c>
      <c r="Q306" s="139" t="str">
        <f t="shared" si="29"/>
        <v/>
      </c>
      <c r="AA306" s="139" t="s">
        <v>1549</v>
      </c>
      <c r="AB306" s="139" t="s">
        <v>1550</v>
      </c>
    </row>
    <row r="307" spans="1:28">
      <c r="A307" s="149"/>
      <c r="B307" s="144" t="str">
        <f t="shared" si="25"/>
        <v/>
      </c>
      <c r="C307" s="149"/>
      <c r="D307" s="144" t="str">
        <f t="shared" si="26"/>
        <v/>
      </c>
      <c r="E307" s="183"/>
      <c r="F307" s="144" t="str">
        <f t="shared" si="27"/>
        <v/>
      </c>
      <c r="G307" s="182"/>
      <c r="H307" s="182"/>
      <c r="I307" s="182"/>
      <c r="J307" s="198"/>
      <c r="K307" s="197"/>
      <c r="L307" s="197"/>
      <c r="M307" s="198"/>
      <c r="N307" s="198"/>
      <c r="P307" s="139" t="str">
        <f t="shared" si="28"/>
        <v/>
      </c>
      <c r="Q307" s="139" t="str">
        <f t="shared" si="29"/>
        <v/>
      </c>
      <c r="AA307" s="139" t="s">
        <v>1551</v>
      </c>
      <c r="AB307" s="139" t="s">
        <v>1552</v>
      </c>
    </row>
    <row r="308" spans="1:28">
      <c r="A308" s="149"/>
      <c r="B308" s="144" t="str">
        <f t="shared" si="25"/>
        <v/>
      </c>
      <c r="C308" s="149"/>
      <c r="D308" s="144" t="str">
        <f t="shared" si="26"/>
        <v/>
      </c>
      <c r="E308" s="183"/>
      <c r="F308" s="144" t="str">
        <f t="shared" si="27"/>
        <v/>
      </c>
      <c r="G308" s="182"/>
      <c r="H308" s="182"/>
      <c r="I308" s="182"/>
      <c r="J308" s="198"/>
      <c r="K308" s="197"/>
      <c r="L308" s="197"/>
      <c r="M308" s="198"/>
      <c r="N308" s="198"/>
      <c r="P308" s="139" t="str">
        <f t="shared" si="28"/>
        <v/>
      </c>
      <c r="Q308" s="139" t="str">
        <f t="shared" si="29"/>
        <v/>
      </c>
      <c r="AA308" s="139" t="s">
        <v>1553</v>
      </c>
      <c r="AB308" s="139" t="s">
        <v>1554</v>
      </c>
    </row>
    <row r="309" spans="1:28">
      <c r="A309" s="149"/>
      <c r="B309" s="144" t="str">
        <f t="shared" si="25"/>
        <v/>
      </c>
      <c r="C309" s="149"/>
      <c r="D309" s="144" t="str">
        <f t="shared" si="26"/>
        <v/>
      </c>
      <c r="E309" s="183"/>
      <c r="F309" s="144" t="str">
        <f t="shared" si="27"/>
        <v/>
      </c>
      <c r="G309" s="182"/>
      <c r="H309" s="182"/>
      <c r="I309" s="182"/>
      <c r="J309" s="198"/>
      <c r="K309" s="197"/>
      <c r="L309" s="197"/>
      <c r="M309" s="198"/>
      <c r="N309" s="198"/>
      <c r="P309" s="139" t="str">
        <f t="shared" si="28"/>
        <v/>
      </c>
      <c r="Q309" s="139" t="str">
        <f t="shared" si="29"/>
        <v/>
      </c>
      <c r="AA309" s="139" t="s">
        <v>1555</v>
      </c>
      <c r="AB309" s="139" t="s">
        <v>1556</v>
      </c>
    </row>
    <row r="310" spans="1:28">
      <c r="A310" s="149"/>
      <c r="B310" s="144" t="str">
        <f t="shared" si="25"/>
        <v/>
      </c>
      <c r="C310" s="149"/>
      <c r="D310" s="144" t="str">
        <f t="shared" si="26"/>
        <v/>
      </c>
      <c r="E310" s="183"/>
      <c r="F310" s="144" t="str">
        <f t="shared" si="27"/>
        <v/>
      </c>
      <c r="G310" s="182"/>
      <c r="H310" s="182"/>
      <c r="I310" s="182"/>
      <c r="J310" s="198"/>
      <c r="K310" s="197"/>
      <c r="L310" s="197"/>
      <c r="M310" s="198"/>
      <c r="N310" s="198"/>
      <c r="P310" s="139" t="str">
        <f t="shared" si="28"/>
        <v/>
      </c>
      <c r="Q310" s="139" t="str">
        <f t="shared" si="29"/>
        <v/>
      </c>
      <c r="AA310" s="139" t="s">
        <v>1557</v>
      </c>
      <c r="AB310" s="139" t="s">
        <v>1558</v>
      </c>
    </row>
    <row r="311" spans="1:28">
      <c r="A311" s="149"/>
      <c r="B311" s="144" t="str">
        <f t="shared" si="25"/>
        <v/>
      </c>
      <c r="C311" s="149"/>
      <c r="D311" s="144" t="str">
        <f t="shared" si="26"/>
        <v/>
      </c>
      <c r="E311" s="183"/>
      <c r="F311" s="144" t="str">
        <f t="shared" si="27"/>
        <v/>
      </c>
      <c r="G311" s="182"/>
      <c r="H311" s="182"/>
      <c r="I311" s="182"/>
      <c r="J311" s="198"/>
      <c r="K311" s="197"/>
      <c r="L311" s="197"/>
      <c r="M311" s="198"/>
      <c r="N311" s="198"/>
      <c r="P311" s="139" t="str">
        <f t="shared" si="28"/>
        <v/>
      </c>
      <c r="Q311" s="139" t="str">
        <f t="shared" si="29"/>
        <v/>
      </c>
      <c r="AA311" s="139" t="s">
        <v>1559</v>
      </c>
      <c r="AB311" s="139" t="s">
        <v>1560</v>
      </c>
    </row>
    <row r="312" spans="1:28">
      <c r="A312" s="149"/>
      <c r="B312" s="144" t="str">
        <f t="shared" si="25"/>
        <v/>
      </c>
      <c r="C312" s="149"/>
      <c r="D312" s="144" t="str">
        <f t="shared" si="26"/>
        <v/>
      </c>
      <c r="E312" s="183"/>
      <c r="F312" s="144" t="str">
        <f t="shared" si="27"/>
        <v/>
      </c>
      <c r="G312" s="182"/>
      <c r="H312" s="182"/>
      <c r="I312" s="182"/>
      <c r="J312" s="198"/>
      <c r="K312" s="197"/>
      <c r="L312" s="197"/>
      <c r="M312" s="198"/>
      <c r="N312" s="198"/>
      <c r="P312" s="139" t="str">
        <f t="shared" si="28"/>
        <v/>
      </c>
      <c r="Q312" s="139" t="str">
        <f t="shared" si="29"/>
        <v/>
      </c>
      <c r="AA312" s="139" t="s">
        <v>1561</v>
      </c>
      <c r="AB312" s="139" t="s">
        <v>1562</v>
      </c>
    </row>
    <row r="313" spans="1:28">
      <c r="A313" s="149"/>
      <c r="B313" s="144" t="str">
        <f t="shared" si="25"/>
        <v/>
      </c>
      <c r="C313" s="149"/>
      <c r="D313" s="144" t="str">
        <f t="shared" si="26"/>
        <v/>
      </c>
      <c r="E313" s="183"/>
      <c r="F313" s="144" t="str">
        <f t="shared" si="27"/>
        <v/>
      </c>
      <c r="G313" s="182"/>
      <c r="H313" s="182"/>
      <c r="I313" s="182"/>
      <c r="J313" s="198"/>
      <c r="K313" s="197"/>
      <c r="L313" s="197"/>
      <c r="M313" s="198"/>
      <c r="N313" s="198"/>
      <c r="P313" s="139" t="str">
        <f t="shared" si="28"/>
        <v/>
      </c>
      <c r="Q313" s="139" t="str">
        <f t="shared" si="29"/>
        <v/>
      </c>
      <c r="AA313" s="139" t="s">
        <v>1563</v>
      </c>
      <c r="AB313" s="139" t="s">
        <v>1564</v>
      </c>
    </row>
    <row r="314" spans="1:28">
      <c r="A314" s="149"/>
      <c r="B314" s="144" t="str">
        <f t="shared" si="25"/>
        <v/>
      </c>
      <c r="C314" s="149"/>
      <c r="D314" s="144" t="str">
        <f t="shared" si="26"/>
        <v/>
      </c>
      <c r="E314" s="183"/>
      <c r="F314" s="144" t="str">
        <f t="shared" si="27"/>
        <v/>
      </c>
      <c r="G314" s="182"/>
      <c r="H314" s="182"/>
      <c r="I314" s="182"/>
      <c r="J314" s="198"/>
      <c r="K314" s="197"/>
      <c r="L314" s="197"/>
      <c r="M314" s="198"/>
      <c r="N314" s="198"/>
      <c r="P314" s="139" t="str">
        <f t="shared" si="28"/>
        <v/>
      </c>
      <c r="Q314" s="139" t="str">
        <f t="shared" si="29"/>
        <v/>
      </c>
      <c r="AA314" s="139" t="s">
        <v>1565</v>
      </c>
      <c r="AB314" s="139" t="s">
        <v>1566</v>
      </c>
    </row>
    <row r="315" spans="1:28">
      <c r="A315" s="149"/>
      <c r="B315" s="144" t="str">
        <f t="shared" si="25"/>
        <v/>
      </c>
      <c r="C315" s="149"/>
      <c r="D315" s="144" t="str">
        <f t="shared" si="26"/>
        <v/>
      </c>
      <c r="E315" s="183"/>
      <c r="F315" s="144" t="str">
        <f t="shared" si="27"/>
        <v/>
      </c>
      <c r="G315" s="182"/>
      <c r="H315" s="182"/>
      <c r="I315" s="182"/>
      <c r="J315" s="198"/>
      <c r="K315" s="197"/>
      <c r="L315" s="197"/>
      <c r="M315" s="198"/>
      <c r="N315" s="198"/>
      <c r="P315" s="139" t="str">
        <f t="shared" si="28"/>
        <v/>
      </c>
      <c r="Q315" s="139" t="str">
        <f t="shared" si="29"/>
        <v/>
      </c>
      <c r="AA315" s="139" t="s">
        <v>1567</v>
      </c>
      <c r="AB315" s="139" t="s">
        <v>1568</v>
      </c>
    </row>
    <row r="316" spans="1:28">
      <c r="A316" s="149"/>
      <c r="B316" s="144" t="str">
        <f t="shared" si="25"/>
        <v/>
      </c>
      <c r="C316" s="149"/>
      <c r="D316" s="144" t="str">
        <f t="shared" si="26"/>
        <v/>
      </c>
      <c r="E316" s="183"/>
      <c r="F316" s="144" t="str">
        <f t="shared" si="27"/>
        <v/>
      </c>
      <c r="G316" s="182"/>
      <c r="H316" s="182"/>
      <c r="I316" s="182"/>
      <c r="J316" s="198"/>
      <c r="K316" s="197"/>
      <c r="L316" s="197"/>
      <c r="M316" s="198"/>
      <c r="N316" s="198"/>
      <c r="P316" s="139" t="str">
        <f t="shared" si="28"/>
        <v/>
      </c>
      <c r="Q316" s="139" t="str">
        <f t="shared" si="29"/>
        <v/>
      </c>
      <c r="AA316" s="139" t="s">
        <v>1569</v>
      </c>
      <c r="AB316" s="139" t="s">
        <v>1570</v>
      </c>
    </row>
    <row r="317" spans="1:28">
      <c r="A317" s="149"/>
      <c r="B317" s="144" t="str">
        <f t="shared" si="25"/>
        <v/>
      </c>
      <c r="C317" s="149"/>
      <c r="D317" s="144" t="str">
        <f t="shared" si="26"/>
        <v/>
      </c>
      <c r="E317" s="183"/>
      <c r="F317" s="144" t="str">
        <f t="shared" si="27"/>
        <v/>
      </c>
      <c r="G317" s="182"/>
      <c r="H317" s="182"/>
      <c r="I317" s="182"/>
      <c r="J317" s="198"/>
      <c r="K317" s="197"/>
      <c r="L317" s="197"/>
      <c r="M317" s="198"/>
      <c r="N317" s="198"/>
      <c r="P317" s="139" t="str">
        <f t="shared" si="28"/>
        <v/>
      </c>
      <c r="Q317" s="139" t="str">
        <f t="shared" si="29"/>
        <v/>
      </c>
      <c r="AA317" s="139" t="s">
        <v>1571</v>
      </c>
      <c r="AB317" s="139" t="s">
        <v>1572</v>
      </c>
    </row>
    <row r="318" spans="1:28">
      <c r="A318" s="149"/>
      <c r="B318" s="144" t="str">
        <f t="shared" si="25"/>
        <v/>
      </c>
      <c r="C318" s="149"/>
      <c r="D318" s="144" t="str">
        <f t="shared" si="26"/>
        <v/>
      </c>
      <c r="E318" s="183"/>
      <c r="F318" s="144" t="str">
        <f t="shared" si="27"/>
        <v/>
      </c>
      <c r="G318" s="182"/>
      <c r="H318" s="182"/>
      <c r="I318" s="182"/>
      <c r="J318" s="198"/>
      <c r="K318" s="197"/>
      <c r="L318" s="197"/>
      <c r="M318" s="198"/>
      <c r="N318" s="198"/>
      <c r="P318" s="139" t="str">
        <f t="shared" si="28"/>
        <v/>
      </c>
      <c r="Q318" s="139" t="str">
        <f t="shared" si="29"/>
        <v/>
      </c>
      <c r="AA318" s="139" t="s">
        <v>1573</v>
      </c>
      <c r="AB318" s="139" t="s">
        <v>1574</v>
      </c>
    </row>
    <row r="319" spans="1:28">
      <c r="A319" s="149"/>
      <c r="B319" s="144" t="str">
        <f t="shared" si="25"/>
        <v/>
      </c>
      <c r="C319" s="149"/>
      <c r="D319" s="144" t="str">
        <f t="shared" si="26"/>
        <v/>
      </c>
      <c r="E319" s="183"/>
      <c r="F319" s="144" t="str">
        <f t="shared" si="27"/>
        <v/>
      </c>
      <c r="G319" s="182"/>
      <c r="H319" s="182"/>
      <c r="I319" s="182"/>
      <c r="J319" s="198"/>
      <c r="K319" s="197"/>
      <c r="L319" s="197"/>
      <c r="M319" s="198"/>
      <c r="N319" s="198"/>
      <c r="P319" s="139" t="str">
        <f t="shared" si="28"/>
        <v/>
      </c>
      <c r="Q319" s="139" t="str">
        <f t="shared" si="29"/>
        <v/>
      </c>
      <c r="AA319" s="139" t="s">
        <v>1575</v>
      </c>
      <c r="AB319" s="139" t="s">
        <v>1576</v>
      </c>
    </row>
    <row r="320" spans="1:28">
      <c r="A320" s="149"/>
      <c r="B320" s="144" t="str">
        <f t="shared" si="25"/>
        <v/>
      </c>
      <c r="C320" s="149"/>
      <c r="D320" s="144" t="str">
        <f t="shared" si="26"/>
        <v/>
      </c>
      <c r="E320" s="183"/>
      <c r="F320" s="144" t="str">
        <f t="shared" si="27"/>
        <v/>
      </c>
      <c r="G320" s="182"/>
      <c r="H320" s="182"/>
      <c r="I320" s="182"/>
      <c r="J320" s="198"/>
      <c r="K320" s="197"/>
      <c r="L320" s="197"/>
      <c r="M320" s="198"/>
      <c r="N320" s="198"/>
      <c r="P320" s="139" t="str">
        <f t="shared" si="28"/>
        <v/>
      </c>
      <c r="Q320" s="139" t="str">
        <f t="shared" si="29"/>
        <v/>
      </c>
      <c r="AA320" s="139" t="s">
        <v>1577</v>
      </c>
      <c r="AB320" s="139" t="s">
        <v>1578</v>
      </c>
    </row>
    <row r="321" spans="1:28">
      <c r="A321" s="149"/>
      <c r="B321" s="144" t="str">
        <f t="shared" si="25"/>
        <v/>
      </c>
      <c r="C321" s="149"/>
      <c r="D321" s="144" t="str">
        <f t="shared" si="26"/>
        <v/>
      </c>
      <c r="E321" s="183"/>
      <c r="F321" s="144" t="str">
        <f t="shared" si="27"/>
        <v/>
      </c>
      <c r="G321" s="182"/>
      <c r="H321" s="182"/>
      <c r="I321" s="182"/>
      <c r="J321" s="198"/>
      <c r="K321" s="197"/>
      <c r="L321" s="197"/>
      <c r="M321" s="198"/>
      <c r="N321" s="198"/>
      <c r="P321" s="139" t="str">
        <f t="shared" si="28"/>
        <v/>
      </c>
      <c r="Q321" s="139" t="str">
        <f t="shared" si="29"/>
        <v/>
      </c>
      <c r="AA321" s="139" t="s">
        <v>1579</v>
      </c>
      <c r="AB321" s="139" t="s">
        <v>1580</v>
      </c>
    </row>
    <row r="322" spans="1:28">
      <c r="A322" s="149"/>
      <c r="B322" s="144" t="str">
        <f t="shared" si="25"/>
        <v/>
      </c>
      <c r="C322" s="149"/>
      <c r="D322" s="144" t="str">
        <f t="shared" si="26"/>
        <v/>
      </c>
      <c r="E322" s="183"/>
      <c r="F322" s="144" t="str">
        <f t="shared" si="27"/>
        <v/>
      </c>
      <c r="G322" s="182"/>
      <c r="H322" s="182"/>
      <c r="I322" s="182"/>
      <c r="J322" s="198"/>
      <c r="K322" s="197"/>
      <c r="L322" s="197"/>
      <c r="M322" s="198"/>
      <c r="N322" s="198"/>
      <c r="P322" s="139" t="str">
        <f t="shared" si="28"/>
        <v/>
      </c>
      <c r="Q322" s="139" t="str">
        <f t="shared" si="29"/>
        <v/>
      </c>
      <c r="AA322" s="139" t="s">
        <v>2520</v>
      </c>
      <c r="AB322" s="139" t="s">
        <v>2521</v>
      </c>
    </row>
    <row r="323" spans="1:28">
      <c r="A323" s="149"/>
      <c r="B323" s="144" t="str">
        <f t="shared" si="25"/>
        <v/>
      </c>
      <c r="C323" s="149"/>
      <c r="D323" s="144" t="str">
        <f t="shared" si="26"/>
        <v/>
      </c>
      <c r="E323" s="183"/>
      <c r="F323" s="144" t="str">
        <f t="shared" si="27"/>
        <v/>
      </c>
      <c r="G323" s="182"/>
      <c r="H323" s="182"/>
      <c r="I323" s="182"/>
      <c r="J323" s="198"/>
      <c r="K323" s="197"/>
      <c r="L323" s="197"/>
      <c r="M323" s="198"/>
      <c r="N323" s="198"/>
      <c r="P323" s="139" t="str">
        <f t="shared" si="28"/>
        <v/>
      </c>
      <c r="Q323" s="139" t="str">
        <f t="shared" si="29"/>
        <v/>
      </c>
      <c r="AA323" s="139" t="s">
        <v>2522</v>
      </c>
      <c r="AB323" s="139" t="s">
        <v>2523</v>
      </c>
    </row>
    <row r="324" spans="1:28">
      <c r="A324" s="149"/>
      <c r="B324" s="144" t="str">
        <f t="shared" ref="B324:B387" si="30">IFERROR(VLOOKUP(A324,$R$6:$S$23,2,FALSE),"")</f>
        <v/>
      </c>
      <c r="C324" s="149"/>
      <c r="D324" s="144" t="str">
        <f t="shared" ref="D324:D387" si="31">IFERROR(VLOOKUP(C324,$U$5:$W$129,2,FALSE),"")</f>
        <v/>
      </c>
      <c r="E324" s="183"/>
      <c r="F324" s="144" t="str">
        <f t="shared" ref="F324:F387" si="32">IFERROR(VLOOKUP(E324,$AA$6:$AB$1018,2,FALSE),"")</f>
        <v/>
      </c>
      <c r="G324" s="182"/>
      <c r="H324" s="182"/>
      <c r="I324" s="182"/>
      <c r="J324" s="198"/>
      <c r="K324" s="197"/>
      <c r="L324" s="197"/>
      <c r="M324" s="198"/>
      <c r="N324" s="198"/>
      <c r="P324" s="139" t="str">
        <f t="shared" ref="P324:P387" si="33">LEFT(C324,3)</f>
        <v/>
      </c>
      <c r="Q324" s="139" t="str">
        <f t="shared" ref="Q324:Q387" si="34">LEFT(C324,2)</f>
        <v/>
      </c>
      <c r="AA324" s="139" t="s">
        <v>2524</v>
      </c>
      <c r="AB324" s="139" t="s">
        <v>2525</v>
      </c>
    </row>
    <row r="325" spans="1:28">
      <c r="A325" s="149"/>
      <c r="B325" s="144" t="str">
        <f t="shared" si="30"/>
        <v/>
      </c>
      <c r="C325" s="149"/>
      <c r="D325" s="144" t="str">
        <f t="shared" si="31"/>
        <v/>
      </c>
      <c r="E325" s="183"/>
      <c r="F325" s="144" t="str">
        <f t="shared" si="32"/>
        <v/>
      </c>
      <c r="G325" s="182"/>
      <c r="H325" s="182"/>
      <c r="I325" s="182"/>
      <c r="J325" s="198"/>
      <c r="K325" s="197"/>
      <c r="L325" s="197"/>
      <c r="M325" s="198"/>
      <c r="N325" s="198"/>
      <c r="P325" s="139" t="str">
        <f t="shared" si="33"/>
        <v/>
      </c>
      <c r="Q325" s="139" t="str">
        <f t="shared" si="34"/>
        <v/>
      </c>
      <c r="AA325" s="139" t="s">
        <v>2526</v>
      </c>
      <c r="AB325" s="139" t="s">
        <v>2527</v>
      </c>
    </row>
    <row r="326" spans="1:28">
      <c r="A326" s="149"/>
      <c r="B326" s="144" t="str">
        <f t="shared" si="30"/>
        <v/>
      </c>
      <c r="C326" s="149"/>
      <c r="D326" s="144" t="str">
        <f t="shared" si="31"/>
        <v/>
      </c>
      <c r="E326" s="183"/>
      <c r="F326" s="144" t="str">
        <f t="shared" si="32"/>
        <v/>
      </c>
      <c r="G326" s="182"/>
      <c r="H326" s="182"/>
      <c r="I326" s="182"/>
      <c r="J326" s="198"/>
      <c r="K326" s="197"/>
      <c r="L326" s="197"/>
      <c r="M326" s="198"/>
      <c r="N326" s="198"/>
      <c r="P326" s="139" t="str">
        <f t="shared" si="33"/>
        <v/>
      </c>
      <c r="Q326" s="139" t="str">
        <f t="shared" si="34"/>
        <v/>
      </c>
      <c r="AA326" s="139" t="s">
        <v>2528</v>
      </c>
      <c r="AB326" s="139" t="s">
        <v>2529</v>
      </c>
    </row>
    <row r="327" spans="1:28">
      <c r="A327" s="149"/>
      <c r="B327" s="144" t="str">
        <f t="shared" si="30"/>
        <v/>
      </c>
      <c r="C327" s="149"/>
      <c r="D327" s="144" t="str">
        <f t="shared" si="31"/>
        <v/>
      </c>
      <c r="E327" s="183"/>
      <c r="F327" s="144" t="str">
        <f t="shared" si="32"/>
        <v/>
      </c>
      <c r="G327" s="182"/>
      <c r="H327" s="182"/>
      <c r="I327" s="182"/>
      <c r="J327" s="198"/>
      <c r="K327" s="197"/>
      <c r="L327" s="197"/>
      <c r="M327" s="198"/>
      <c r="N327" s="198"/>
      <c r="P327" s="139" t="str">
        <f t="shared" si="33"/>
        <v/>
      </c>
      <c r="Q327" s="139" t="str">
        <f t="shared" si="34"/>
        <v/>
      </c>
      <c r="AA327" s="139" t="s">
        <v>2530</v>
      </c>
      <c r="AB327" s="139" t="s">
        <v>2531</v>
      </c>
    </row>
    <row r="328" spans="1:28">
      <c r="A328" s="149"/>
      <c r="B328" s="144" t="str">
        <f t="shared" si="30"/>
        <v/>
      </c>
      <c r="C328" s="149"/>
      <c r="D328" s="144" t="str">
        <f t="shared" si="31"/>
        <v/>
      </c>
      <c r="E328" s="183"/>
      <c r="F328" s="144" t="str">
        <f t="shared" si="32"/>
        <v/>
      </c>
      <c r="G328" s="182"/>
      <c r="H328" s="182"/>
      <c r="I328" s="182"/>
      <c r="J328" s="198"/>
      <c r="K328" s="197"/>
      <c r="L328" s="197"/>
      <c r="M328" s="198"/>
      <c r="N328" s="198"/>
      <c r="P328" s="139" t="str">
        <f t="shared" si="33"/>
        <v/>
      </c>
      <c r="Q328" s="139" t="str">
        <f t="shared" si="34"/>
        <v/>
      </c>
      <c r="AA328" s="139" t="s">
        <v>2532</v>
      </c>
      <c r="AB328" s="139" t="s">
        <v>2533</v>
      </c>
    </row>
    <row r="329" spans="1:28">
      <c r="A329" s="149"/>
      <c r="B329" s="144" t="str">
        <f t="shared" si="30"/>
        <v/>
      </c>
      <c r="C329" s="149"/>
      <c r="D329" s="144" t="str">
        <f t="shared" si="31"/>
        <v/>
      </c>
      <c r="E329" s="183"/>
      <c r="F329" s="144" t="str">
        <f t="shared" si="32"/>
        <v/>
      </c>
      <c r="G329" s="182"/>
      <c r="H329" s="182"/>
      <c r="I329" s="182"/>
      <c r="J329" s="198"/>
      <c r="K329" s="197"/>
      <c r="L329" s="197"/>
      <c r="M329" s="198"/>
      <c r="N329" s="198"/>
      <c r="P329" s="139" t="str">
        <f t="shared" si="33"/>
        <v/>
      </c>
      <c r="Q329" s="139" t="str">
        <f t="shared" si="34"/>
        <v/>
      </c>
      <c r="AA329" s="139" t="s">
        <v>2534</v>
      </c>
      <c r="AB329" s="139" t="s">
        <v>2535</v>
      </c>
    </row>
    <row r="330" spans="1:28">
      <c r="A330" s="149"/>
      <c r="B330" s="144" t="str">
        <f t="shared" si="30"/>
        <v/>
      </c>
      <c r="C330" s="149"/>
      <c r="D330" s="144" t="str">
        <f t="shared" si="31"/>
        <v/>
      </c>
      <c r="E330" s="183"/>
      <c r="F330" s="144" t="str">
        <f t="shared" si="32"/>
        <v/>
      </c>
      <c r="G330" s="182"/>
      <c r="H330" s="182"/>
      <c r="I330" s="182"/>
      <c r="J330" s="198"/>
      <c r="K330" s="197"/>
      <c r="L330" s="197"/>
      <c r="M330" s="198"/>
      <c r="N330" s="198"/>
      <c r="P330" s="139" t="str">
        <f t="shared" si="33"/>
        <v/>
      </c>
      <c r="Q330" s="139" t="str">
        <f t="shared" si="34"/>
        <v/>
      </c>
      <c r="AA330" s="139" t="s">
        <v>2536</v>
      </c>
      <c r="AB330" s="139" t="s">
        <v>2537</v>
      </c>
    </row>
    <row r="331" spans="1:28">
      <c r="A331" s="149"/>
      <c r="B331" s="144" t="str">
        <f t="shared" si="30"/>
        <v/>
      </c>
      <c r="C331" s="149"/>
      <c r="D331" s="144" t="str">
        <f t="shared" si="31"/>
        <v/>
      </c>
      <c r="E331" s="183"/>
      <c r="F331" s="144" t="str">
        <f t="shared" si="32"/>
        <v/>
      </c>
      <c r="G331" s="182"/>
      <c r="H331" s="182"/>
      <c r="I331" s="182"/>
      <c r="J331" s="198"/>
      <c r="K331" s="197"/>
      <c r="L331" s="197"/>
      <c r="M331" s="198"/>
      <c r="N331" s="198"/>
      <c r="P331" s="139" t="str">
        <f t="shared" si="33"/>
        <v/>
      </c>
      <c r="Q331" s="139" t="str">
        <f t="shared" si="34"/>
        <v/>
      </c>
      <c r="AA331" s="139" t="s">
        <v>2538</v>
      </c>
      <c r="AB331" s="139" t="s">
        <v>2539</v>
      </c>
    </row>
    <row r="332" spans="1:28">
      <c r="A332" s="149"/>
      <c r="B332" s="144" t="str">
        <f t="shared" si="30"/>
        <v/>
      </c>
      <c r="C332" s="149"/>
      <c r="D332" s="144" t="str">
        <f t="shared" si="31"/>
        <v/>
      </c>
      <c r="E332" s="183"/>
      <c r="F332" s="144" t="str">
        <f t="shared" si="32"/>
        <v/>
      </c>
      <c r="G332" s="182"/>
      <c r="H332" s="182"/>
      <c r="I332" s="182"/>
      <c r="J332" s="198"/>
      <c r="K332" s="197"/>
      <c r="L332" s="197"/>
      <c r="M332" s="198"/>
      <c r="N332" s="198"/>
      <c r="P332" s="139" t="str">
        <f t="shared" si="33"/>
        <v/>
      </c>
      <c r="Q332" s="139" t="str">
        <f t="shared" si="34"/>
        <v/>
      </c>
      <c r="AA332" s="139" t="s">
        <v>2540</v>
      </c>
      <c r="AB332" s="139" t="s">
        <v>2541</v>
      </c>
    </row>
    <row r="333" spans="1:28">
      <c r="A333" s="149"/>
      <c r="B333" s="144" t="str">
        <f t="shared" si="30"/>
        <v/>
      </c>
      <c r="C333" s="149"/>
      <c r="D333" s="144" t="str">
        <f t="shared" si="31"/>
        <v/>
      </c>
      <c r="E333" s="183"/>
      <c r="F333" s="144" t="str">
        <f t="shared" si="32"/>
        <v/>
      </c>
      <c r="G333" s="182"/>
      <c r="H333" s="182"/>
      <c r="I333" s="182"/>
      <c r="J333" s="198"/>
      <c r="K333" s="197"/>
      <c r="L333" s="197"/>
      <c r="M333" s="198"/>
      <c r="N333" s="198"/>
      <c r="P333" s="139" t="str">
        <f t="shared" si="33"/>
        <v/>
      </c>
      <c r="Q333" s="139" t="str">
        <f t="shared" si="34"/>
        <v/>
      </c>
      <c r="AA333" s="139" t="s">
        <v>2542</v>
      </c>
      <c r="AB333" s="139" t="s">
        <v>2543</v>
      </c>
    </row>
    <row r="334" spans="1:28">
      <c r="A334" s="149"/>
      <c r="B334" s="144" t="str">
        <f t="shared" si="30"/>
        <v/>
      </c>
      <c r="C334" s="149"/>
      <c r="D334" s="144" t="str">
        <f t="shared" si="31"/>
        <v/>
      </c>
      <c r="E334" s="183"/>
      <c r="F334" s="144" t="str">
        <f t="shared" si="32"/>
        <v/>
      </c>
      <c r="G334" s="182"/>
      <c r="H334" s="182"/>
      <c r="I334" s="182"/>
      <c r="J334" s="198"/>
      <c r="K334" s="197"/>
      <c r="L334" s="197"/>
      <c r="M334" s="198"/>
      <c r="N334" s="198"/>
      <c r="P334" s="139" t="str">
        <f t="shared" si="33"/>
        <v/>
      </c>
      <c r="Q334" s="139" t="str">
        <f t="shared" si="34"/>
        <v/>
      </c>
      <c r="AA334" s="139" t="s">
        <v>2544</v>
      </c>
      <c r="AB334" s="139" t="s">
        <v>2545</v>
      </c>
    </row>
    <row r="335" spans="1:28">
      <c r="A335" s="149"/>
      <c r="B335" s="144" t="str">
        <f t="shared" si="30"/>
        <v/>
      </c>
      <c r="C335" s="149"/>
      <c r="D335" s="144" t="str">
        <f t="shared" si="31"/>
        <v/>
      </c>
      <c r="E335" s="183"/>
      <c r="F335" s="144" t="str">
        <f t="shared" si="32"/>
        <v/>
      </c>
      <c r="G335" s="182"/>
      <c r="H335" s="182"/>
      <c r="I335" s="182"/>
      <c r="J335" s="198"/>
      <c r="K335" s="197"/>
      <c r="L335" s="197"/>
      <c r="M335" s="198"/>
      <c r="N335" s="198"/>
      <c r="P335" s="139" t="str">
        <f t="shared" si="33"/>
        <v/>
      </c>
      <c r="Q335" s="139" t="str">
        <f t="shared" si="34"/>
        <v/>
      </c>
      <c r="AA335" s="139" t="s">
        <v>2546</v>
      </c>
      <c r="AB335" s="139" t="s">
        <v>2547</v>
      </c>
    </row>
    <row r="336" spans="1:28">
      <c r="A336" s="149"/>
      <c r="B336" s="144" t="str">
        <f t="shared" si="30"/>
        <v/>
      </c>
      <c r="C336" s="149"/>
      <c r="D336" s="144" t="str">
        <f t="shared" si="31"/>
        <v/>
      </c>
      <c r="E336" s="183"/>
      <c r="F336" s="144" t="str">
        <f t="shared" si="32"/>
        <v/>
      </c>
      <c r="G336" s="182"/>
      <c r="H336" s="182"/>
      <c r="I336" s="182"/>
      <c r="J336" s="198"/>
      <c r="K336" s="197"/>
      <c r="L336" s="197"/>
      <c r="M336" s="198"/>
      <c r="N336" s="198"/>
      <c r="P336" s="139" t="str">
        <f t="shared" si="33"/>
        <v/>
      </c>
      <c r="Q336" s="139" t="str">
        <f t="shared" si="34"/>
        <v/>
      </c>
      <c r="AA336" s="139" t="s">
        <v>2548</v>
      </c>
      <c r="AB336" s="139" t="s">
        <v>2549</v>
      </c>
    </row>
    <row r="337" spans="1:28">
      <c r="A337" s="149"/>
      <c r="B337" s="144" t="str">
        <f t="shared" si="30"/>
        <v/>
      </c>
      <c r="C337" s="149"/>
      <c r="D337" s="144" t="str">
        <f t="shared" si="31"/>
        <v/>
      </c>
      <c r="E337" s="183"/>
      <c r="F337" s="144" t="str">
        <f t="shared" si="32"/>
        <v/>
      </c>
      <c r="G337" s="182"/>
      <c r="H337" s="182"/>
      <c r="I337" s="182"/>
      <c r="J337" s="198"/>
      <c r="K337" s="197"/>
      <c r="L337" s="197"/>
      <c r="M337" s="198"/>
      <c r="N337" s="198"/>
      <c r="P337" s="139" t="str">
        <f t="shared" si="33"/>
        <v/>
      </c>
      <c r="Q337" s="139" t="str">
        <f t="shared" si="34"/>
        <v/>
      </c>
      <c r="AA337" s="139" t="s">
        <v>2550</v>
      </c>
      <c r="AB337" s="139" t="s">
        <v>2551</v>
      </c>
    </row>
    <row r="338" spans="1:28">
      <c r="A338" s="149"/>
      <c r="B338" s="144" t="str">
        <f t="shared" si="30"/>
        <v/>
      </c>
      <c r="C338" s="149"/>
      <c r="D338" s="144" t="str">
        <f t="shared" si="31"/>
        <v/>
      </c>
      <c r="E338" s="183"/>
      <c r="F338" s="144" t="str">
        <f t="shared" si="32"/>
        <v/>
      </c>
      <c r="G338" s="182"/>
      <c r="H338" s="182"/>
      <c r="I338" s="182"/>
      <c r="J338" s="198"/>
      <c r="K338" s="197"/>
      <c r="L338" s="197"/>
      <c r="M338" s="198"/>
      <c r="N338" s="198"/>
      <c r="P338" s="139" t="str">
        <f t="shared" si="33"/>
        <v/>
      </c>
      <c r="Q338" s="139" t="str">
        <f t="shared" si="34"/>
        <v/>
      </c>
      <c r="AA338" s="139" t="s">
        <v>2552</v>
      </c>
      <c r="AB338" s="139" t="s">
        <v>2553</v>
      </c>
    </row>
    <row r="339" spans="1:28">
      <c r="A339" s="149"/>
      <c r="B339" s="144" t="str">
        <f t="shared" si="30"/>
        <v/>
      </c>
      <c r="C339" s="149"/>
      <c r="D339" s="144" t="str">
        <f t="shared" si="31"/>
        <v/>
      </c>
      <c r="E339" s="183"/>
      <c r="F339" s="144" t="str">
        <f t="shared" si="32"/>
        <v/>
      </c>
      <c r="G339" s="182"/>
      <c r="H339" s="182"/>
      <c r="I339" s="182"/>
      <c r="J339" s="198"/>
      <c r="K339" s="197"/>
      <c r="L339" s="197"/>
      <c r="M339" s="198"/>
      <c r="N339" s="198"/>
      <c r="P339" s="139" t="str">
        <f t="shared" si="33"/>
        <v/>
      </c>
      <c r="Q339" s="139" t="str">
        <f t="shared" si="34"/>
        <v/>
      </c>
      <c r="AA339" s="139" t="s">
        <v>2554</v>
      </c>
      <c r="AB339" s="139" t="s">
        <v>2555</v>
      </c>
    </row>
    <row r="340" spans="1:28">
      <c r="A340" s="149"/>
      <c r="B340" s="144" t="str">
        <f t="shared" si="30"/>
        <v/>
      </c>
      <c r="C340" s="149"/>
      <c r="D340" s="144" t="str">
        <f t="shared" si="31"/>
        <v/>
      </c>
      <c r="E340" s="183"/>
      <c r="F340" s="144" t="str">
        <f t="shared" si="32"/>
        <v/>
      </c>
      <c r="G340" s="182"/>
      <c r="H340" s="182"/>
      <c r="I340" s="182"/>
      <c r="J340" s="198"/>
      <c r="K340" s="197"/>
      <c r="L340" s="197"/>
      <c r="M340" s="198"/>
      <c r="N340" s="198"/>
      <c r="P340" s="139" t="str">
        <f t="shared" si="33"/>
        <v/>
      </c>
      <c r="Q340" s="139" t="str">
        <f t="shared" si="34"/>
        <v/>
      </c>
      <c r="AA340" s="139" t="s">
        <v>2556</v>
      </c>
      <c r="AB340" s="139" t="s">
        <v>2557</v>
      </c>
    </row>
    <row r="341" spans="1:28">
      <c r="A341" s="149"/>
      <c r="B341" s="144" t="str">
        <f t="shared" si="30"/>
        <v/>
      </c>
      <c r="C341" s="149"/>
      <c r="D341" s="144" t="str">
        <f t="shared" si="31"/>
        <v/>
      </c>
      <c r="E341" s="183"/>
      <c r="F341" s="144" t="str">
        <f t="shared" si="32"/>
        <v/>
      </c>
      <c r="G341" s="182"/>
      <c r="H341" s="182"/>
      <c r="I341" s="182"/>
      <c r="J341" s="198"/>
      <c r="K341" s="197"/>
      <c r="L341" s="197"/>
      <c r="M341" s="198"/>
      <c r="N341" s="198"/>
      <c r="P341" s="139" t="str">
        <f t="shared" si="33"/>
        <v/>
      </c>
      <c r="Q341" s="139" t="str">
        <f t="shared" si="34"/>
        <v/>
      </c>
      <c r="AA341" s="139" t="s">
        <v>2558</v>
      </c>
      <c r="AB341" s="139" t="s">
        <v>2559</v>
      </c>
    </row>
    <row r="342" spans="1:28">
      <c r="A342" s="149"/>
      <c r="B342" s="144" t="str">
        <f t="shared" si="30"/>
        <v/>
      </c>
      <c r="C342" s="149"/>
      <c r="D342" s="144" t="str">
        <f t="shared" si="31"/>
        <v/>
      </c>
      <c r="E342" s="183"/>
      <c r="F342" s="144" t="str">
        <f t="shared" si="32"/>
        <v/>
      </c>
      <c r="G342" s="182"/>
      <c r="H342" s="182"/>
      <c r="I342" s="182"/>
      <c r="J342" s="198"/>
      <c r="K342" s="197"/>
      <c r="L342" s="197"/>
      <c r="M342" s="198"/>
      <c r="N342" s="198"/>
      <c r="P342" s="139" t="str">
        <f t="shared" si="33"/>
        <v/>
      </c>
      <c r="Q342" s="139" t="str">
        <f t="shared" si="34"/>
        <v/>
      </c>
      <c r="AA342" s="139" t="s">
        <v>2560</v>
      </c>
      <c r="AB342" s="139" t="s">
        <v>2561</v>
      </c>
    </row>
    <row r="343" spans="1:28">
      <c r="A343" s="149"/>
      <c r="B343" s="144" t="str">
        <f t="shared" si="30"/>
        <v/>
      </c>
      <c r="C343" s="149"/>
      <c r="D343" s="144" t="str">
        <f t="shared" si="31"/>
        <v/>
      </c>
      <c r="E343" s="183"/>
      <c r="F343" s="144" t="str">
        <f t="shared" si="32"/>
        <v/>
      </c>
      <c r="G343" s="182"/>
      <c r="H343" s="182"/>
      <c r="I343" s="182"/>
      <c r="J343" s="198"/>
      <c r="K343" s="197"/>
      <c r="L343" s="197"/>
      <c r="M343" s="198"/>
      <c r="N343" s="198"/>
      <c r="P343" s="139" t="str">
        <f t="shared" si="33"/>
        <v/>
      </c>
      <c r="Q343" s="139" t="str">
        <f t="shared" si="34"/>
        <v/>
      </c>
      <c r="AA343" s="139" t="s">
        <v>2562</v>
      </c>
      <c r="AB343" s="139" t="s">
        <v>2563</v>
      </c>
    </row>
    <row r="344" spans="1:28">
      <c r="A344" s="149"/>
      <c r="B344" s="144" t="str">
        <f t="shared" si="30"/>
        <v/>
      </c>
      <c r="C344" s="149"/>
      <c r="D344" s="144" t="str">
        <f t="shared" si="31"/>
        <v/>
      </c>
      <c r="E344" s="183"/>
      <c r="F344" s="144" t="str">
        <f t="shared" si="32"/>
        <v/>
      </c>
      <c r="G344" s="182"/>
      <c r="H344" s="182"/>
      <c r="I344" s="182"/>
      <c r="J344" s="198"/>
      <c r="K344" s="197"/>
      <c r="L344" s="197"/>
      <c r="M344" s="198"/>
      <c r="N344" s="198"/>
      <c r="P344" s="139" t="str">
        <f t="shared" si="33"/>
        <v/>
      </c>
      <c r="Q344" s="139" t="str">
        <f t="shared" si="34"/>
        <v/>
      </c>
      <c r="AA344" s="139" t="s">
        <v>2564</v>
      </c>
      <c r="AB344" s="139" t="s">
        <v>2565</v>
      </c>
    </row>
    <row r="345" spans="1:28">
      <c r="A345" s="149"/>
      <c r="B345" s="144" t="str">
        <f t="shared" si="30"/>
        <v/>
      </c>
      <c r="C345" s="149"/>
      <c r="D345" s="144" t="str">
        <f t="shared" si="31"/>
        <v/>
      </c>
      <c r="E345" s="183"/>
      <c r="F345" s="144" t="str">
        <f t="shared" si="32"/>
        <v/>
      </c>
      <c r="G345" s="182"/>
      <c r="H345" s="182"/>
      <c r="I345" s="182"/>
      <c r="J345" s="198"/>
      <c r="K345" s="197"/>
      <c r="L345" s="197"/>
      <c r="M345" s="198"/>
      <c r="N345" s="198"/>
      <c r="P345" s="139" t="str">
        <f t="shared" si="33"/>
        <v/>
      </c>
      <c r="Q345" s="139" t="str">
        <f t="shared" si="34"/>
        <v/>
      </c>
      <c r="AA345" s="139" t="s">
        <v>2566</v>
      </c>
      <c r="AB345" s="139" t="s">
        <v>2567</v>
      </c>
    </row>
    <row r="346" spans="1:28">
      <c r="A346" s="149"/>
      <c r="B346" s="144" t="str">
        <f t="shared" si="30"/>
        <v/>
      </c>
      <c r="C346" s="149"/>
      <c r="D346" s="144" t="str">
        <f t="shared" si="31"/>
        <v/>
      </c>
      <c r="E346" s="183"/>
      <c r="F346" s="144" t="str">
        <f t="shared" si="32"/>
        <v/>
      </c>
      <c r="G346" s="182"/>
      <c r="H346" s="182"/>
      <c r="I346" s="182"/>
      <c r="J346" s="198"/>
      <c r="K346" s="197"/>
      <c r="L346" s="197"/>
      <c r="M346" s="198"/>
      <c r="N346" s="198"/>
      <c r="P346" s="139" t="str">
        <f t="shared" si="33"/>
        <v/>
      </c>
      <c r="Q346" s="139" t="str">
        <f t="shared" si="34"/>
        <v/>
      </c>
      <c r="AA346" s="139" t="s">
        <v>2568</v>
      </c>
      <c r="AB346" s="139" t="s">
        <v>2569</v>
      </c>
    </row>
    <row r="347" spans="1:28">
      <c r="A347" s="149"/>
      <c r="B347" s="144" t="str">
        <f t="shared" si="30"/>
        <v/>
      </c>
      <c r="C347" s="149"/>
      <c r="D347" s="144" t="str">
        <f t="shared" si="31"/>
        <v/>
      </c>
      <c r="E347" s="183"/>
      <c r="F347" s="144" t="str">
        <f t="shared" si="32"/>
        <v/>
      </c>
      <c r="G347" s="182"/>
      <c r="H347" s="182"/>
      <c r="I347" s="182"/>
      <c r="J347" s="198"/>
      <c r="K347" s="197"/>
      <c r="L347" s="197"/>
      <c r="M347" s="198"/>
      <c r="N347" s="198"/>
      <c r="P347" s="139" t="str">
        <f t="shared" si="33"/>
        <v/>
      </c>
      <c r="Q347" s="139" t="str">
        <f t="shared" si="34"/>
        <v/>
      </c>
      <c r="AA347" s="139" t="s">
        <v>2570</v>
      </c>
      <c r="AB347" s="139" t="s">
        <v>2571</v>
      </c>
    </row>
    <row r="348" spans="1:28">
      <c r="A348" s="149"/>
      <c r="B348" s="144" t="str">
        <f t="shared" si="30"/>
        <v/>
      </c>
      <c r="C348" s="149"/>
      <c r="D348" s="144" t="str">
        <f t="shared" si="31"/>
        <v/>
      </c>
      <c r="E348" s="183"/>
      <c r="F348" s="144" t="str">
        <f t="shared" si="32"/>
        <v/>
      </c>
      <c r="G348" s="182"/>
      <c r="H348" s="182"/>
      <c r="I348" s="182"/>
      <c r="J348" s="198"/>
      <c r="K348" s="197"/>
      <c r="L348" s="197"/>
      <c r="M348" s="198"/>
      <c r="N348" s="198"/>
      <c r="P348" s="139" t="str">
        <f t="shared" si="33"/>
        <v/>
      </c>
      <c r="Q348" s="139" t="str">
        <f t="shared" si="34"/>
        <v/>
      </c>
      <c r="AA348" s="139" t="s">
        <v>2572</v>
      </c>
      <c r="AB348" s="139" t="s">
        <v>2573</v>
      </c>
    </row>
    <row r="349" spans="1:28">
      <c r="A349" s="149"/>
      <c r="B349" s="144" t="str">
        <f t="shared" si="30"/>
        <v/>
      </c>
      <c r="C349" s="149"/>
      <c r="D349" s="144" t="str">
        <f t="shared" si="31"/>
        <v/>
      </c>
      <c r="E349" s="183"/>
      <c r="F349" s="144" t="str">
        <f t="shared" si="32"/>
        <v/>
      </c>
      <c r="G349" s="182"/>
      <c r="H349" s="182"/>
      <c r="I349" s="182"/>
      <c r="J349" s="198"/>
      <c r="K349" s="197"/>
      <c r="L349" s="197"/>
      <c r="M349" s="198"/>
      <c r="N349" s="198"/>
      <c r="P349" s="139" t="str">
        <f t="shared" si="33"/>
        <v/>
      </c>
      <c r="Q349" s="139" t="str">
        <f t="shared" si="34"/>
        <v/>
      </c>
      <c r="AA349" s="139" t="s">
        <v>2574</v>
      </c>
      <c r="AB349" s="139" t="s">
        <v>2575</v>
      </c>
    </row>
    <row r="350" spans="1:28">
      <c r="A350" s="149"/>
      <c r="B350" s="144" t="str">
        <f t="shared" si="30"/>
        <v/>
      </c>
      <c r="C350" s="149"/>
      <c r="D350" s="144" t="str">
        <f t="shared" si="31"/>
        <v/>
      </c>
      <c r="E350" s="183"/>
      <c r="F350" s="144" t="str">
        <f t="shared" si="32"/>
        <v/>
      </c>
      <c r="G350" s="182"/>
      <c r="H350" s="182"/>
      <c r="I350" s="182"/>
      <c r="J350" s="198"/>
      <c r="K350" s="197"/>
      <c r="L350" s="197"/>
      <c r="M350" s="198"/>
      <c r="N350" s="198"/>
      <c r="P350" s="139" t="str">
        <f t="shared" si="33"/>
        <v/>
      </c>
      <c r="Q350" s="139" t="str">
        <f t="shared" si="34"/>
        <v/>
      </c>
      <c r="AA350" s="139" t="s">
        <v>2576</v>
      </c>
      <c r="AB350" s="139" t="s">
        <v>2577</v>
      </c>
    </row>
    <row r="351" spans="1:28">
      <c r="A351" s="149"/>
      <c r="B351" s="144" t="str">
        <f t="shared" si="30"/>
        <v/>
      </c>
      <c r="C351" s="149"/>
      <c r="D351" s="144" t="str">
        <f t="shared" si="31"/>
        <v/>
      </c>
      <c r="E351" s="183"/>
      <c r="F351" s="144" t="str">
        <f t="shared" si="32"/>
        <v/>
      </c>
      <c r="G351" s="182"/>
      <c r="H351" s="182"/>
      <c r="I351" s="182"/>
      <c r="J351" s="198"/>
      <c r="K351" s="197"/>
      <c r="L351" s="197"/>
      <c r="M351" s="198"/>
      <c r="N351" s="198"/>
      <c r="P351" s="139" t="str">
        <f t="shared" si="33"/>
        <v/>
      </c>
      <c r="Q351" s="139" t="str">
        <f t="shared" si="34"/>
        <v/>
      </c>
      <c r="AA351" s="139" t="s">
        <v>2578</v>
      </c>
      <c r="AB351" s="139" t="s">
        <v>2579</v>
      </c>
    </row>
    <row r="352" spans="1:28">
      <c r="A352" s="149"/>
      <c r="B352" s="144" t="str">
        <f t="shared" si="30"/>
        <v/>
      </c>
      <c r="C352" s="149"/>
      <c r="D352" s="144" t="str">
        <f t="shared" si="31"/>
        <v/>
      </c>
      <c r="E352" s="183"/>
      <c r="F352" s="144" t="str">
        <f t="shared" si="32"/>
        <v/>
      </c>
      <c r="G352" s="182"/>
      <c r="H352" s="182"/>
      <c r="I352" s="182"/>
      <c r="J352" s="198"/>
      <c r="K352" s="197"/>
      <c r="L352" s="197"/>
      <c r="M352" s="198"/>
      <c r="N352" s="198"/>
      <c r="P352" s="139" t="str">
        <f t="shared" si="33"/>
        <v/>
      </c>
      <c r="Q352" s="139" t="str">
        <f t="shared" si="34"/>
        <v/>
      </c>
      <c r="AA352" s="139" t="s">
        <v>2580</v>
      </c>
      <c r="AB352" s="139" t="s">
        <v>999</v>
      </c>
    </row>
    <row r="353" spans="1:28">
      <c r="A353" s="149"/>
      <c r="B353" s="144" t="str">
        <f t="shared" si="30"/>
        <v/>
      </c>
      <c r="C353" s="149"/>
      <c r="D353" s="144" t="str">
        <f t="shared" si="31"/>
        <v/>
      </c>
      <c r="E353" s="183"/>
      <c r="F353" s="144" t="str">
        <f t="shared" si="32"/>
        <v/>
      </c>
      <c r="G353" s="182"/>
      <c r="H353" s="182"/>
      <c r="I353" s="182"/>
      <c r="J353" s="198"/>
      <c r="K353" s="197"/>
      <c r="L353" s="197"/>
      <c r="M353" s="198"/>
      <c r="N353" s="198"/>
      <c r="P353" s="139" t="str">
        <f t="shared" si="33"/>
        <v/>
      </c>
      <c r="Q353" s="139" t="str">
        <f t="shared" si="34"/>
        <v/>
      </c>
      <c r="AA353" s="139" t="s">
        <v>2581</v>
      </c>
      <c r="AB353" s="139" t="s">
        <v>1292</v>
      </c>
    </row>
    <row r="354" spans="1:28">
      <c r="A354" s="149"/>
      <c r="B354" s="144" t="str">
        <f t="shared" si="30"/>
        <v/>
      </c>
      <c r="C354" s="149"/>
      <c r="D354" s="144" t="str">
        <f t="shared" si="31"/>
        <v/>
      </c>
      <c r="E354" s="183"/>
      <c r="F354" s="144" t="str">
        <f t="shared" si="32"/>
        <v/>
      </c>
      <c r="G354" s="182"/>
      <c r="H354" s="182"/>
      <c r="I354" s="182"/>
      <c r="J354" s="198"/>
      <c r="K354" s="197"/>
      <c r="L354" s="197"/>
      <c r="M354" s="198"/>
      <c r="N354" s="198"/>
      <c r="P354" s="139" t="str">
        <f t="shared" si="33"/>
        <v/>
      </c>
      <c r="Q354" s="139" t="str">
        <f t="shared" si="34"/>
        <v/>
      </c>
      <c r="AA354" s="139" t="s">
        <v>2582</v>
      </c>
      <c r="AB354" s="139" t="s">
        <v>2583</v>
      </c>
    </row>
    <row r="355" spans="1:28">
      <c r="A355" s="149"/>
      <c r="B355" s="144" t="str">
        <f t="shared" si="30"/>
        <v/>
      </c>
      <c r="C355" s="149"/>
      <c r="D355" s="144" t="str">
        <f t="shared" si="31"/>
        <v/>
      </c>
      <c r="E355" s="183"/>
      <c r="F355" s="144" t="str">
        <f t="shared" si="32"/>
        <v/>
      </c>
      <c r="G355" s="182"/>
      <c r="H355" s="182"/>
      <c r="I355" s="182"/>
      <c r="J355" s="198"/>
      <c r="K355" s="197"/>
      <c r="L355" s="197"/>
      <c r="M355" s="198"/>
      <c r="N355" s="198"/>
      <c r="P355" s="139" t="str">
        <f t="shared" si="33"/>
        <v/>
      </c>
      <c r="Q355" s="139" t="str">
        <f t="shared" si="34"/>
        <v/>
      </c>
      <c r="AA355" s="139" t="s">
        <v>2584</v>
      </c>
      <c r="AB355" s="139" t="s">
        <v>2585</v>
      </c>
    </row>
    <row r="356" spans="1:28">
      <c r="A356" s="149"/>
      <c r="B356" s="144" t="str">
        <f t="shared" si="30"/>
        <v/>
      </c>
      <c r="C356" s="149"/>
      <c r="D356" s="144" t="str">
        <f t="shared" si="31"/>
        <v/>
      </c>
      <c r="E356" s="183"/>
      <c r="F356" s="144" t="str">
        <f t="shared" si="32"/>
        <v/>
      </c>
      <c r="G356" s="182"/>
      <c r="H356" s="182"/>
      <c r="I356" s="182"/>
      <c r="J356" s="198"/>
      <c r="K356" s="197"/>
      <c r="L356" s="197"/>
      <c r="M356" s="198"/>
      <c r="N356" s="198"/>
      <c r="P356" s="139" t="str">
        <f t="shared" si="33"/>
        <v/>
      </c>
      <c r="Q356" s="139" t="str">
        <f t="shared" si="34"/>
        <v/>
      </c>
      <c r="AA356" s="139" t="s">
        <v>2586</v>
      </c>
      <c r="AB356" s="139" t="s">
        <v>2587</v>
      </c>
    </row>
    <row r="357" spans="1:28">
      <c r="A357" s="149"/>
      <c r="B357" s="144" t="str">
        <f t="shared" si="30"/>
        <v/>
      </c>
      <c r="C357" s="149"/>
      <c r="D357" s="144" t="str">
        <f t="shared" si="31"/>
        <v/>
      </c>
      <c r="E357" s="183"/>
      <c r="F357" s="144" t="str">
        <f t="shared" si="32"/>
        <v/>
      </c>
      <c r="G357" s="182"/>
      <c r="H357" s="182"/>
      <c r="I357" s="182"/>
      <c r="J357" s="198"/>
      <c r="K357" s="197"/>
      <c r="L357" s="197"/>
      <c r="M357" s="198"/>
      <c r="N357" s="198"/>
      <c r="P357" s="139" t="str">
        <f t="shared" si="33"/>
        <v/>
      </c>
      <c r="Q357" s="139" t="str">
        <f t="shared" si="34"/>
        <v/>
      </c>
      <c r="AA357" s="139" t="s">
        <v>2588</v>
      </c>
      <c r="AB357" s="139" t="s">
        <v>2589</v>
      </c>
    </row>
    <row r="358" spans="1:28">
      <c r="A358" s="149"/>
      <c r="B358" s="144" t="str">
        <f t="shared" si="30"/>
        <v/>
      </c>
      <c r="C358" s="149"/>
      <c r="D358" s="144" t="str">
        <f t="shared" si="31"/>
        <v/>
      </c>
      <c r="E358" s="183"/>
      <c r="F358" s="144" t="str">
        <f t="shared" si="32"/>
        <v/>
      </c>
      <c r="G358" s="182"/>
      <c r="H358" s="182"/>
      <c r="I358" s="182"/>
      <c r="J358" s="198"/>
      <c r="K358" s="197"/>
      <c r="L358" s="197"/>
      <c r="M358" s="198"/>
      <c r="N358" s="198"/>
      <c r="P358" s="139" t="str">
        <f t="shared" si="33"/>
        <v/>
      </c>
      <c r="Q358" s="139" t="str">
        <f t="shared" si="34"/>
        <v/>
      </c>
      <c r="AA358" s="139" t="s">
        <v>2590</v>
      </c>
      <c r="AB358" s="139" t="s">
        <v>2591</v>
      </c>
    </row>
    <row r="359" spans="1:28">
      <c r="A359" s="149"/>
      <c r="B359" s="144" t="str">
        <f t="shared" si="30"/>
        <v/>
      </c>
      <c r="C359" s="149"/>
      <c r="D359" s="144" t="str">
        <f t="shared" si="31"/>
        <v/>
      </c>
      <c r="E359" s="183"/>
      <c r="F359" s="144" t="str">
        <f t="shared" si="32"/>
        <v/>
      </c>
      <c r="G359" s="182"/>
      <c r="H359" s="182"/>
      <c r="I359" s="182"/>
      <c r="J359" s="198"/>
      <c r="K359" s="197"/>
      <c r="L359" s="197"/>
      <c r="M359" s="198"/>
      <c r="N359" s="198"/>
      <c r="P359" s="139" t="str">
        <f t="shared" si="33"/>
        <v/>
      </c>
      <c r="Q359" s="139" t="str">
        <f t="shared" si="34"/>
        <v/>
      </c>
      <c r="AA359" s="139" t="s">
        <v>2592</v>
      </c>
      <c r="AB359" s="139" t="s">
        <v>2593</v>
      </c>
    </row>
    <row r="360" spans="1:28">
      <c r="A360" s="149"/>
      <c r="B360" s="144" t="str">
        <f t="shared" si="30"/>
        <v/>
      </c>
      <c r="C360" s="149"/>
      <c r="D360" s="144" t="str">
        <f t="shared" si="31"/>
        <v/>
      </c>
      <c r="E360" s="183"/>
      <c r="F360" s="144" t="str">
        <f t="shared" si="32"/>
        <v/>
      </c>
      <c r="G360" s="182"/>
      <c r="H360" s="182"/>
      <c r="I360" s="182"/>
      <c r="J360" s="198"/>
      <c r="K360" s="197"/>
      <c r="L360" s="197"/>
      <c r="M360" s="198"/>
      <c r="N360" s="198"/>
      <c r="P360" s="139" t="str">
        <f t="shared" si="33"/>
        <v/>
      </c>
      <c r="Q360" s="139" t="str">
        <f t="shared" si="34"/>
        <v/>
      </c>
      <c r="AA360" s="139" t="s">
        <v>2594</v>
      </c>
      <c r="AB360" s="139" t="s">
        <v>2595</v>
      </c>
    </row>
    <row r="361" spans="1:28">
      <c r="A361" s="149"/>
      <c r="B361" s="144" t="str">
        <f t="shared" si="30"/>
        <v/>
      </c>
      <c r="C361" s="149"/>
      <c r="D361" s="144" t="str">
        <f t="shared" si="31"/>
        <v/>
      </c>
      <c r="E361" s="183"/>
      <c r="F361" s="144" t="str">
        <f t="shared" si="32"/>
        <v/>
      </c>
      <c r="G361" s="182"/>
      <c r="H361" s="182"/>
      <c r="I361" s="182"/>
      <c r="J361" s="198"/>
      <c r="K361" s="197"/>
      <c r="L361" s="197"/>
      <c r="M361" s="198"/>
      <c r="N361" s="198"/>
      <c r="P361" s="139" t="str">
        <f t="shared" si="33"/>
        <v/>
      </c>
      <c r="Q361" s="139" t="str">
        <f t="shared" si="34"/>
        <v/>
      </c>
      <c r="AA361" s="139" t="s">
        <v>2596</v>
      </c>
      <c r="AB361" s="139" t="s">
        <v>2597</v>
      </c>
    </row>
    <row r="362" spans="1:28">
      <c r="A362" s="149"/>
      <c r="B362" s="144" t="str">
        <f t="shared" si="30"/>
        <v/>
      </c>
      <c r="C362" s="149"/>
      <c r="D362" s="144" t="str">
        <f t="shared" si="31"/>
        <v/>
      </c>
      <c r="E362" s="183"/>
      <c r="F362" s="144" t="str">
        <f t="shared" si="32"/>
        <v/>
      </c>
      <c r="G362" s="182"/>
      <c r="H362" s="182"/>
      <c r="I362" s="182"/>
      <c r="J362" s="198"/>
      <c r="K362" s="197"/>
      <c r="L362" s="197"/>
      <c r="M362" s="198"/>
      <c r="N362" s="198"/>
      <c r="P362" s="139" t="str">
        <f t="shared" si="33"/>
        <v/>
      </c>
      <c r="Q362" s="139" t="str">
        <f t="shared" si="34"/>
        <v/>
      </c>
      <c r="AA362" s="139" t="s">
        <v>2598</v>
      </c>
      <c r="AB362" s="139" t="s">
        <v>2599</v>
      </c>
    </row>
    <row r="363" spans="1:28">
      <c r="A363" s="149"/>
      <c r="B363" s="144" t="str">
        <f t="shared" si="30"/>
        <v/>
      </c>
      <c r="C363" s="149"/>
      <c r="D363" s="144" t="str">
        <f t="shared" si="31"/>
        <v/>
      </c>
      <c r="E363" s="183"/>
      <c r="F363" s="144" t="str">
        <f t="shared" si="32"/>
        <v/>
      </c>
      <c r="G363" s="182"/>
      <c r="H363" s="182"/>
      <c r="I363" s="182"/>
      <c r="J363" s="198"/>
      <c r="K363" s="197"/>
      <c r="L363" s="197"/>
      <c r="M363" s="198"/>
      <c r="N363" s="198"/>
      <c r="P363" s="139" t="str">
        <f t="shared" si="33"/>
        <v/>
      </c>
      <c r="Q363" s="139" t="str">
        <f t="shared" si="34"/>
        <v/>
      </c>
      <c r="AA363" s="139" t="s">
        <v>2600</v>
      </c>
      <c r="AB363" s="139" t="s">
        <v>2601</v>
      </c>
    </row>
    <row r="364" spans="1:28">
      <c r="A364" s="149"/>
      <c r="B364" s="144" t="str">
        <f t="shared" si="30"/>
        <v/>
      </c>
      <c r="C364" s="149"/>
      <c r="D364" s="144" t="str">
        <f t="shared" si="31"/>
        <v/>
      </c>
      <c r="E364" s="183"/>
      <c r="F364" s="144" t="str">
        <f t="shared" si="32"/>
        <v/>
      </c>
      <c r="G364" s="182"/>
      <c r="H364" s="182"/>
      <c r="I364" s="182"/>
      <c r="J364" s="198"/>
      <c r="K364" s="197"/>
      <c r="L364" s="197"/>
      <c r="M364" s="198"/>
      <c r="N364" s="198"/>
      <c r="P364" s="139" t="str">
        <f t="shared" si="33"/>
        <v/>
      </c>
      <c r="Q364" s="139" t="str">
        <f t="shared" si="34"/>
        <v/>
      </c>
      <c r="AA364" s="139" t="s">
        <v>2602</v>
      </c>
      <c r="AB364" s="139" t="s">
        <v>2603</v>
      </c>
    </row>
    <row r="365" spans="1:28">
      <c r="A365" s="149"/>
      <c r="B365" s="144" t="str">
        <f t="shared" si="30"/>
        <v/>
      </c>
      <c r="C365" s="149"/>
      <c r="D365" s="144" t="str">
        <f t="shared" si="31"/>
        <v/>
      </c>
      <c r="E365" s="183"/>
      <c r="F365" s="144" t="str">
        <f t="shared" si="32"/>
        <v/>
      </c>
      <c r="G365" s="182"/>
      <c r="H365" s="182"/>
      <c r="I365" s="182"/>
      <c r="J365" s="198"/>
      <c r="K365" s="197"/>
      <c r="L365" s="197"/>
      <c r="M365" s="198"/>
      <c r="N365" s="198"/>
      <c r="P365" s="139" t="str">
        <f t="shared" si="33"/>
        <v/>
      </c>
      <c r="Q365" s="139" t="str">
        <f t="shared" si="34"/>
        <v/>
      </c>
      <c r="AA365" s="139" t="s">
        <v>2604</v>
      </c>
      <c r="AB365" s="139" t="s">
        <v>2605</v>
      </c>
    </row>
    <row r="366" spans="1:28">
      <c r="A366" s="149"/>
      <c r="B366" s="144" t="str">
        <f t="shared" si="30"/>
        <v/>
      </c>
      <c r="C366" s="149"/>
      <c r="D366" s="144" t="str">
        <f t="shared" si="31"/>
        <v/>
      </c>
      <c r="E366" s="183"/>
      <c r="F366" s="144" t="str">
        <f t="shared" si="32"/>
        <v/>
      </c>
      <c r="G366" s="182"/>
      <c r="H366" s="182"/>
      <c r="I366" s="182"/>
      <c r="J366" s="198"/>
      <c r="K366" s="197"/>
      <c r="L366" s="197"/>
      <c r="M366" s="198"/>
      <c r="N366" s="198"/>
      <c r="P366" s="139" t="str">
        <f t="shared" si="33"/>
        <v/>
      </c>
      <c r="Q366" s="139" t="str">
        <f t="shared" si="34"/>
        <v/>
      </c>
      <c r="AA366" s="139" t="s">
        <v>914</v>
      </c>
      <c r="AB366" s="139" t="s">
        <v>915</v>
      </c>
    </row>
    <row r="367" spans="1:28">
      <c r="A367" s="149"/>
      <c r="B367" s="144" t="str">
        <f t="shared" si="30"/>
        <v/>
      </c>
      <c r="C367" s="149"/>
      <c r="D367" s="144" t="str">
        <f t="shared" si="31"/>
        <v/>
      </c>
      <c r="E367" s="183"/>
      <c r="F367" s="144" t="str">
        <f t="shared" si="32"/>
        <v/>
      </c>
      <c r="G367" s="182"/>
      <c r="H367" s="182"/>
      <c r="I367" s="182"/>
      <c r="J367" s="198"/>
      <c r="K367" s="197"/>
      <c r="L367" s="197"/>
      <c r="M367" s="198"/>
      <c r="N367" s="198"/>
      <c r="P367" s="139" t="str">
        <f t="shared" si="33"/>
        <v/>
      </c>
      <c r="Q367" s="139" t="str">
        <f t="shared" si="34"/>
        <v/>
      </c>
      <c r="AA367" s="139" t="s">
        <v>916</v>
      </c>
      <c r="AB367" s="139" t="s">
        <v>917</v>
      </c>
    </row>
    <row r="368" spans="1:28">
      <c r="A368" s="149"/>
      <c r="B368" s="144" t="str">
        <f t="shared" si="30"/>
        <v/>
      </c>
      <c r="C368" s="149"/>
      <c r="D368" s="144" t="str">
        <f t="shared" si="31"/>
        <v/>
      </c>
      <c r="E368" s="183"/>
      <c r="F368" s="144" t="str">
        <f t="shared" si="32"/>
        <v/>
      </c>
      <c r="G368" s="182"/>
      <c r="H368" s="182"/>
      <c r="I368" s="182"/>
      <c r="J368" s="198"/>
      <c r="K368" s="197"/>
      <c r="L368" s="197"/>
      <c r="M368" s="198"/>
      <c r="N368" s="198"/>
      <c r="P368" s="139" t="str">
        <f t="shared" si="33"/>
        <v/>
      </c>
      <c r="Q368" s="139" t="str">
        <f t="shared" si="34"/>
        <v/>
      </c>
      <c r="AA368" s="139" t="s">
        <v>918</v>
      </c>
      <c r="AB368" s="139" t="s">
        <v>919</v>
      </c>
    </row>
    <row r="369" spans="1:28">
      <c r="A369" s="149"/>
      <c r="B369" s="144" t="str">
        <f t="shared" si="30"/>
        <v/>
      </c>
      <c r="C369" s="149"/>
      <c r="D369" s="144" t="str">
        <f t="shared" si="31"/>
        <v/>
      </c>
      <c r="E369" s="183"/>
      <c r="F369" s="144" t="str">
        <f t="shared" si="32"/>
        <v/>
      </c>
      <c r="G369" s="182"/>
      <c r="H369" s="182"/>
      <c r="I369" s="182"/>
      <c r="J369" s="198"/>
      <c r="K369" s="197"/>
      <c r="L369" s="197"/>
      <c r="M369" s="198"/>
      <c r="N369" s="198"/>
      <c r="P369" s="139" t="str">
        <f t="shared" si="33"/>
        <v/>
      </c>
      <c r="Q369" s="139" t="str">
        <f t="shared" si="34"/>
        <v/>
      </c>
      <c r="AA369" s="139" t="s">
        <v>920</v>
      </c>
      <c r="AB369" s="139" t="s">
        <v>921</v>
      </c>
    </row>
    <row r="370" spans="1:28">
      <c r="A370" s="149"/>
      <c r="B370" s="144" t="str">
        <f t="shared" si="30"/>
        <v/>
      </c>
      <c r="C370" s="149"/>
      <c r="D370" s="144" t="str">
        <f t="shared" si="31"/>
        <v/>
      </c>
      <c r="E370" s="183"/>
      <c r="F370" s="144" t="str">
        <f t="shared" si="32"/>
        <v/>
      </c>
      <c r="G370" s="182"/>
      <c r="H370" s="182"/>
      <c r="I370" s="182"/>
      <c r="J370" s="198"/>
      <c r="K370" s="197"/>
      <c r="L370" s="197"/>
      <c r="M370" s="198"/>
      <c r="N370" s="198"/>
      <c r="P370" s="139" t="str">
        <f t="shared" si="33"/>
        <v/>
      </c>
      <c r="Q370" s="139" t="str">
        <f t="shared" si="34"/>
        <v/>
      </c>
      <c r="AA370" s="139" t="s">
        <v>922</v>
      </c>
      <c r="AB370" s="139" t="s">
        <v>923</v>
      </c>
    </row>
    <row r="371" spans="1:28">
      <c r="A371" s="149"/>
      <c r="B371" s="144" t="str">
        <f t="shared" si="30"/>
        <v/>
      </c>
      <c r="C371" s="149"/>
      <c r="D371" s="144" t="str">
        <f t="shared" si="31"/>
        <v/>
      </c>
      <c r="E371" s="183"/>
      <c r="F371" s="144" t="str">
        <f t="shared" si="32"/>
        <v/>
      </c>
      <c r="G371" s="182"/>
      <c r="H371" s="182"/>
      <c r="I371" s="182"/>
      <c r="J371" s="198"/>
      <c r="K371" s="197"/>
      <c r="L371" s="197"/>
      <c r="M371" s="198"/>
      <c r="N371" s="198"/>
      <c r="P371" s="139" t="str">
        <f t="shared" si="33"/>
        <v/>
      </c>
      <c r="Q371" s="139" t="str">
        <f t="shared" si="34"/>
        <v/>
      </c>
      <c r="AA371" s="139" t="s">
        <v>924</v>
      </c>
      <c r="AB371" s="139" t="s">
        <v>925</v>
      </c>
    </row>
    <row r="372" spans="1:28">
      <c r="A372" s="149"/>
      <c r="B372" s="144" t="str">
        <f t="shared" si="30"/>
        <v/>
      </c>
      <c r="C372" s="149"/>
      <c r="D372" s="144" t="str">
        <f t="shared" si="31"/>
        <v/>
      </c>
      <c r="E372" s="183"/>
      <c r="F372" s="144" t="str">
        <f t="shared" si="32"/>
        <v/>
      </c>
      <c r="G372" s="182"/>
      <c r="H372" s="182"/>
      <c r="I372" s="182"/>
      <c r="J372" s="198"/>
      <c r="K372" s="197"/>
      <c r="L372" s="197"/>
      <c r="M372" s="198"/>
      <c r="N372" s="198"/>
      <c r="P372" s="139" t="str">
        <f t="shared" si="33"/>
        <v/>
      </c>
      <c r="Q372" s="139" t="str">
        <f t="shared" si="34"/>
        <v/>
      </c>
      <c r="AA372" s="139" t="s">
        <v>926</v>
      </c>
      <c r="AB372" s="139" t="s">
        <v>927</v>
      </c>
    </row>
    <row r="373" spans="1:28">
      <c r="A373" s="149"/>
      <c r="B373" s="144" t="str">
        <f t="shared" si="30"/>
        <v/>
      </c>
      <c r="C373" s="149"/>
      <c r="D373" s="144" t="str">
        <f t="shared" si="31"/>
        <v/>
      </c>
      <c r="E373" s="183"/>
      <c r="F373" s="144" t="str">
        <f t="shared" si="32"/>
        <v/>
      </c>
      <c r="G373" s="182"/>
      <c r="H373" s="182"/>
      <c r="I373" s="182"/>
      <c r="J373" s="198"/>
      <c r="K373" s="197"/>
      <c r="L373" s="197"/>
      <c r="M373" s="198"/>
      <c r="N373" s="198"/>
      <c r="P373" s="139" t="str">
        <f t="shared" si="33"/>
        <v/>
      </c>
      <c r="Q373" s="139" t="str">
        <f t="shared" si="34"/>
        <v/>
      </c>
      <c r="AA373" s="139" t="s">
        <v>928</v>
      </c>
      <c r="AB373" s="139" t="s">
        <v>929</v>
      </c>
    </row>
    <row r="374" spans="1:28">
      <c r="A374" s="149"/>
      <c r="B374" s="144" t="str">
        <f t="shared" si="30"/>
        <v/>
      </c>
      <c r="C374" s="149"/>
      <c r="D374" s="144" t="str">
        <f t="shared" si="31"/>
        <v/>
      </c>
      <c r="E374" s="183"/>
      <c r="F374" s="144" t="str">
        <f t="shared" si="32"/>
        <v/>
      </c>
      <c r="G374" s="182"/>
      <c r="H374" s="182"/>
      <c r="I374" s="182"/>
      <c r="J374" s="198"/>
      <c r="K374" s="197"/>
      <c r="L374" s="197"/>
      <c r="M374" s="198"/>
      <c r="N374" s="198"/>
      <c r="P374" s="139" t="str">
        <f t="shared" si="33"/>
        <v/>
      </c>
      <c r="Q374" s="139" t="str">
        <f t="shared" si="34"/>
        <v/>
      </c>
      <c r="AA374" s="139" t="s">
        <v>930</v>
      </c>
      <c r="AB374" s="139" t="s">
        <v>931</v>
      </c>
    </row>
    <row r="375" spans="1:28">
      <c r="A375" s="149"/>
      <c r="B375" s="144" t="str">
        <f t="shared" si="30"/>
        <v/>
      </c>
      <c r="C375" s="149"/>
      <c r="D375" s="144" t="str">
        <f t="shared" si="31"/>
        <v/>
      </c>
      <c r="E375" s="183"/>
      <c r="F375" s="144" t="str">
        <f t="shared" si="32"/>
        <v/>
      </c>
      <c r="G375" s="182"/>
      <c r="H375" s="182"/>
      <c r="I375" s="182"/>
      <c r="J375" s="198"/>
      <c r="K375" s="197"/>
      <c r="L375" s="197"/>
      <c r="M375" s="198"/>
      <c r="N375" s="198"/>
      <c r="P375" s="139" t="str">
        <f t="shared" si="33"/>
        <v/>
      </c>
      <c r="Q375" s="139" t="str">
        <f t="shared" si="34"/>
        <v/>
      </c>
      <c r="AA375" s="139" t="s">
        <v>932</v>
      </c>
      <c r="AB375" s="139" t="s">
        <v>933</v>
      </c>
    </row>
    <row r="376" spans="1:28">
      <c r="A376" s="149"/>
      <c r="B376" s="144" t="str">
        <f t="shared" si="30"/>
        <v/>
      </c>
      <c r="C376" s="149"/>
      <c r="D376" s="144" t="str">
        <f t="shared" si="31"/>
        <v/>
      </c>
      <c r="E376" s="183"/>
      <c r="F376" s="144" t="str">
        <f t="shared" si="32"/>
        <v/>
      </c>
      <c r="G376" s="182"/>
      <c r="H376" s="182"/>
      <c r="I376" s="182"/>
      <c r="J376" s="198"/>
      <c r="K376" s="197"/>
      <c r="L376" s="197"/>
      <c r="M376" s="198"/>
      <c r="N376" s="198"/>
      <c r="P376" s="139" t="str">
        <f t="shared" si="33"/>
        <v/>
      </c>
      <c r="Q376" s="139" t="str">
        <f t="shared" si="34"/>
        <v/>
      </c>
      <c r="AA376" s="139" t="s">
        <v>934</v>
      </c>
      <c r="AB376" s="139" t="s">
        <v>935</v>
      </c>
    </row>
    <row r="377" spans="1:28">
      <c r="A377" s="149"/>
      <c r="B377" s="144" t="str">
        <f t="shared" si="30"/>
        <v/>
      </c>
      <c r="C377" s="149"/>
      <c r="D377" s="144" t="str">
        <f t="shared" si="31"/>
        <v/>
      </c>
      <c r="E377" s="183"/>
      <c r="F377" s="144" t="str">
        <f t="shared" si="32"/>
        <v/>
      </c>
      <c r="G377" s="182"/>
      <c r="H377" s="182"/>
      <c r="I377" s="182"/>
      <c r="J377" s="198"/>
      <c r="K377" s="197"/>
      <c r="L377" s="197"/>
      <c r="M377" s="198"/>
      <c r="N377" s="198"/>
      <c r="P377" s="139" t="str">
        <f t="shared" si="33"/>
        <v/>
      </c>
      <c r="Q377" s="139" t="str">
        <f t="shared" si="34"/>
        <v/>
      </c>
      <c r="AA377" s="139" t="s">
        <v>936</v>
      </c>
      <c r="AB377" s="139" t="s">
        <v>937</v>
      </c>
    </row>
    <row r="378" spans="1:28">
      <c r="A378" s="149"/>
      <c r="B378" s="144" t="str">
        <f t="shared" si="30"/>
        <v/>
      </c>
      <c r="C378" s="149"/>
      <c r="D378" s="144" t="str">
        <f t="shared" si="31"/>
        <v/>
      </c>
      <c r="E378" s="183"/>
      <c r="F378" s="144" t="str">
        <f t="shared" si="32"/>
        <v/>
      </c>
      <c r="G378" s="182"/>
      <c r="H378" s="182"/>
      <c r="I378" s="182"/>
      <c r="J378" s="198"/>
      <c r="K378" s="197"/>
      <c r="L378" s="197"/>
      <c r="M378" s="198"/>
      <c r="N378" s="198"/>
      <c r="P378" s="139" t="str">
        <f t="shared" si="33"/>
        <v/>
      </c>
      <c r="Q378" s="139" t="str">
        <f t="shared" si="34"/>
        <v/>
      </c>
      <c r="AA378" s="139" t="s">
        <v>938</v>
      </c>
      <c r="AB378" s="139" t="s">
        <v>939</v>
      </c>
    </row>
    <row r="379" spans="1:28">
      <c r="A379" s="149"/>
      <c r="B379" s="144" t="str">
        <f t="shared" si="30"/>
        <v/>
      </c>
      <c r="C379" s="149"/>
      <c r="D379" s="144" t="str">
        <f t="shared" si="31"/>
        <v/>
      </c>
      <c r="E379" s="183"/>
      <c r="F379" s="144" t="str">
        <f t="shared" si="32"/>
        <v/>
      </c>
      <c r="G379" s="182"/>
      <c r="H379" s="182"/>
      <c r="I379" s="182"/>
      <c r="J379" s="198"/>
      <c r="K379" s="197"/>
      <c r="L379" s="197"/>
      <c r="M379" s="198"/>
      <c r="N379" s="198"/>
      <c r="P379" s="139" t="str">
        <f t="shared" si="33"/>
        <v/>
      </c>
      <c r="Q379" s="139" t="str">
        <f t="shared" si="34"/>
        <v/>
      </c>
      <c r="AA379" s="139" t="s">
        <v>940</v>
      </c>
      <c r="AB379" s="139" t="s">
        <v>941</v>
      </c>
    </row>
    <row r="380" spans="1:28">
      <c r="A380" s="149"/>
      <c r="B380" s="144" t="str">
        <f t="shared" si="30"/>
        <v/>
      </c>
      <c r="C380" s="149"/>
      <c r="D380" s="144" t="str">
        <f t="shared" si="31"/>
        <v/>
      </c>
      <c r="E380" s="183"/>
      <c r="F380" s="144" t="str">
        <f t="shared" si="32"/>
        <v/>
      </c>
      <c r="G380" s="182"/>
      <c r="H380" s="182"/>
      <c r="I380" s="182"/>
      <c r="J380" s="198"/>
      <c r="K380" s="197"/>
      <c r="L380" s="197"/>
      <c r="M380" s="198"/>
      <c r="N380" s="198"/>
      <c r="P380" s="139" t="str">
        <f t="shared" si="33"/>
        <v/>
      </c>
      <c r="Q380" s="139" t="str">
        <f t="shared" si="34"/>
        <v/>
      </c>
      <c r="AA380" s="139" t="s">
        <v>942</v>
      </c>
      <c r="AB380" s="139" t="s">
        <v>943</v>
      </c>
    </row>
    <row r="381" spans="1:28">
      <c r="A381" s="149"/>
      <c r="B381" s="144" t="str">
        <f t="shared" si="30"/>
        <v/>
      </c>
      <c r="C381" s="149"/>
      <c r="D381" s="144" t="str">
        <f t="shared" si="31"/>
        <v/>
      </c>
      <c r="E381" s="183"/>
      <c r="F381" s="144" t="str">
        <f t="shared" si="32"/>
        <v/>
      </c>
      <c r="G381" s="182"/>
      <c r="H381" s="182"/>
      <c r="I381" s="182"/>
      <c r="J381" s="198"/>
      <c r="K381" s="197"/>
      <c r="L381" s="197"/>
      <c r="M381" s="198"/>
      <c r="N381" s="198"/>
      <c r="P381" s="139" t="str">
        <f t="shared" si="33"/>
        <v/>
      </c>
      <c r="Q381" s="139" t="str">
        <f t="shared" si="34"/>
        <v/>
      </c>
      <c r="AA381" s="139" t="s">
        <v>944</v>
      </c>
      <c r="AB381" s="139" t="s">
        <v>945</v>
      </c>
    </row>
    <row r="382" spans="1:28">
      <c r="A382" s="149"/>
      <c r="B382" s="144" t="str">
        <f t="shared" si="30"/>
        <v/>
      </c>
      <c r="C382" s="149"/>
      <c r="D382" s="144" t="str">
        <f t="shared" si="31"/>
        <v/>
      </c>
      <c r="E382" s="183"/>
      <c r="F382" s="144" t="str">
        <f t="shared" si="32"/>
        <v/>
      </c>
      <c r="G382" s="182"/>
      <c r="H382" s="182"/>
      <c r="I382" s="182"/>
      <c r="J382" s="198"/>
      <c r="K382" s="197"/>
      <c r="L382" s="197"/>
      <c r="M382" s="198"/>
      <c r="N382" s="198"/>
      <c r="P382" s="139" t="str">
        <f t="shared" si="33"/>
        <v/>
      </c>
      <c r="Q382" s="139" t="str">
        <f t="shared" si="34"/>
        <v/>
      </c>
      <c r="AA382" s="139" t="s">
        <v>946</v>
      </c>
      <c r="AB382" s="139" t="s">
        <v>947</v>
      </c>
    </row>
    <row r="383" spans="1:28">
      <c r="A383" s="149"/>
      <c r="B383" s="144" t="str">
        <f t="shared" si="30"/>
        <v/>
      </c>
      <c r="C383" s="149"/>
      <c r="D383" s="144" t="str">
        <f t="shared" si="31"/>
        <v/>
      </c>
      <c r="E383" s="183"/>
      <c r="F383" s="144" t="str">
        <f t="shared" si="32"/>
        <v/>
      </c>
      <c r="G383" s="182"/>
      <c r="H383" s="182"/>
      <c r="I383" s="182"/>
      <c r="J383" s="198"/>
      <c r="K383" s="197"/>
      <c r="L383" s="197"/>
      <c r="M383" s="198"/>
      <c r="N383" s="198"/>
      <c r="P383" s="139" t="str">
        <f t="shared" si="33"/>
        <v/>
      </c>
      <c r="Q383" s="139" t="str">
        <f t="shared" si="34"/>
        <v/>
      </c>
      <c r="AA383" s="139" t="s">
        <v>948</v>
      </c>
      <c r="AB383" s="139" t="s">
        <v>949</v>
      </c>
    </row>
    <row r="384" spans="1:28">
      <c r="A384" s="149"/>
      <c r="B384" s="144" t="str">
        <f t="shared" si="30"/>
        <v/>
      </c>
      <c r="C384" s="149"/>
      <c r="D384" s="144" t="str">
        <f t="shared" si="31"/>
        <v/>
      </c>
      <c r="E384" s="183"/>
      <c r="F384" s="144" t="str">
        <f t="shared" si="32"/>
        <v/>
      </c>
      <c r="G384" s="182"/>
      <c r="H384" s="182"/>
      <c r="I384" s="182"/>
      <c r="J384" s="198"/>
      <c r="K384" s="197"/>
      <c r="L384" s="197"/>
      <c r="M384" s="198"/>
      <c r="N384" s="198"/>
      <c r="P384" s="139" t="str">
        <f t="shared" si="33"/>
        <v/>
      </c>
      <c r="Q384" s="139" t="str">
        <f t="shared" si="34"/>
        <v/>
      </c>
      <c r="AA384" s="139" t="s">
        <v>950</v>
      </c>
      <c r="AB384" s="139" t="s">
        <v>951</v>
      </c>
    </row>
    <row r="385" spans="1:28">
      <c r="A385" s="149"/>
      <c r="B385" s="144" t="str">
        <f t="shared" si="30"/>
        <v/>
      </c>
      <c r="C385" s="149"/>
      <c r="D385" s="144" t="str">
        <f t="shared" si="31"/>
        <v/>
      </c>
      <c r="E385" s="183"/>
      <c r="F385" s="144" t="str">
        <f t="shared" si="32"/>
        <v/>
      </c>
      <c r="G385" s="182"/>
      <c r="H385" s="182"/>
      <c r="I385" s="182"/>
      <c r="J385" s="198"/>
      <c r="K385" s="197"/>
      <c r="L385" s="197"/>
      <c r="M385" s="198"/>
      <c r="N385" s="198"/>
      <c r="P385" s="139" t="str">
        <f t="shared" si="33"/>
        <v/>
      </c>
      <c r="Q385" s="139" t="str">
        <f t="shared" si="34"/>
        <v/>
      </c>
      <c r="AA385" s="139" t="s">
        <v>952</v>
      </c>
      <c r="AB385" s="139" t="s">
        <v>953</v>
      </c>
    </row>
    <row r="386" spans="1:28">
      <c r="A386" s="149"/>
      <c r="B386" s="144" t="str">
        <f t="shared" si="30"/>
        <v/>
      </c>
      <c r="C386" s="149"/>
      <c r="D386" s="144" t="str">
        <f t="shared" si="31"/>
        <v/>
      </c>
      <c r="E386" s="183"/>
      <c r="F386" s="144" t="str">
        <f t="shared" si="32"/>
        <v/>
      </c>
      <c r="G386" s="182"/>
      <c r="H386" s="182"/>
      <c r="I386" s="182"/>
      <c r="J386" s="198"/>
      <c r="K386" s="197"/>
      <c r="L386" s="197"/>
      <c r="M386" s="198"/>
      <c r="N386" s="198"/>
      <c r="P386" s="139" t="str">
        <f t="shared" si="33"/>
        <v/>
      </c>
      <c r="Q386" s="139" t="str">
        <f t="shared" si="34"/>
        <v/>
      </c>
      <c r="AA386" s="139" t="s">
        <v>954</v>
      </c>
      <c r="AB386" s="139" t="s">
        <v>955</v>
      </c>
    </row>
    <row r="387" spans="1:28">
      <c r="A387" s="149"/>
      <c r="B387" s="144" t="str">
        <f t="shared" si="30"/>
        <v/>
      </c>
      <c r="C387" s="149"/>
      <c r="D387" s="144" t="str">
        <f t="shared" si="31"/>
        <v/>
      </c>
      <c r="E387" s="183"/>
      <c r="F387" s="144" t="str">
        <f t="shared" si="32"/>
        <v/>
      </c>
      <c r="G387" s="182"/>
      <c r="H387" s="182"/>
      <c r="I387" s="182"/>
      <c r="J387" s="198"/>
      <c r="K387" s="197"/>
      <c r="L387" s="197"/>
      <c r="M387" s="198"/>
      <c r="N387" s="198"/>
      <c r="P387" s="139" t="str">
        <f t="shared" si="33"/>
        <v/>
      </c>
      <c r="Q387" s="139" t="str">
        <f t="shared" si="34"/>
        <v/>
      </c>
      <c r="AA387" s="139" t="s">
        <v>956</v>
      </c>
      <c r="AB387" s="139" t="s">
        <v>957</v>
      </c>
    </row>
    <row r="388" spans="1:28">
      <c r="A388" s="149"/>
      <c r="B388" s="144" t="str">
        <f t="shared" ref="B388:B451" si="35">IFERROR(VLOOKUP(A388,$R$6:$S$23,2,FALSE),"")</f>
        <v/>
      </c>
      <c r="C388" s="149"/>
      <c r="D388" s="144" t="str">
        <f t="shared" ref="D388:D451" si="36">IFERROR(VLOOKUP(C388,$U$5:$W$129,2,FALSE),"")</f>
        <v/>
      </c>
      <c r="E388" s="183"/>
      <c r="F388" s="144" t="str">
        <f t="shared" ref="F388:F451" si="37">IFERROR(VLOOKUP(E388,$AA$6:$AB$1018,2,FALSE),"")</f>
        <v/>
      </c>
      <c r="G388" s="182"/>
      <c r="H388" s="182"/>
      <c r="I388" s="182"/>
      <c r="J388" s="198"/>
      <c r="K388" s="197"/>
      <c r="L388" s="197"/>
      <c r="M388" s="198"/>
      <c r="N388" s="198"/>
      <c r="P388" s="139" t="str">
        <f t="shared" ref="P388:P451" si="38">LEFT(C388,3)</f>
        <v/>
      </c>
      <c r="Q388" s="139" t="str">
        <f t="shared" ref="Q388:Q451" si="39">LEFT(C388,2)</f>
        <v/>
      </c>
      <c r="AA388" s="139" t="s">
        <v>958</v>
      </c>
      <c r="AB388" s="139" t="s">
        <v>959</v>
      </c>
    </row>
    <row r="389" spans="1:28">
      <c r="A389" s="149"/>
      <c r="B389" s="144" t="str">
        <f t="shared" si="35"/>
        <v/>
      </c>
      <c r="C389" s="149"/>
      <c r="D389" s="144" t="str">
        <f t="shared" si="36"/>
        <v/>
      </c>
      <c r="E389" s="183"/>
      <c r="F389" s="144" t="str">
        <f t="shared" si="37"/>
        <v/>
      </c>
      <c r="G389" s="182"/>
      <c r="H389" s="182"/>
      <c r="I389" s="182"/>
      <c r="J389" s="198"/>
      <c r="K389" s="197"/>
      <c r="L389" s="197"/>
      <c r="M389" s="198"/>
      <c r="N389" s="198"/>
      <c r="P389" s="139" t="str">
        <f t="shared" si="38"/>
        <v/>
      </c>
      <c r="Q389" s="139" t="str">
        <f t="shared" si="39"/>
        <v/>
      </c>
      <c r="AA389" s="139" t="s">
        <v>960</v>
      </c>
      <c r="AB389" s="139" t="s">
        <v>961</v>
      </c>
    </row>
    <row r="390" spans="1:28">
      <c r="A390" s="149"/>
      <c r="B390" s="144" t="str">
        <f t="shared" si="35"/>
        <v/>
      </c>
      <c r="C390" s="149"/>
      <c r="D390" s="144" t="str">
        <f t="shared" si="36"/>
        <v/>
      </c>
      <c r="E390" s="183"/>
      <c r="F390" s="144" t="str">
        <f t="shared" si="37"/>
        <v/>
      </c>
      <c r="G390" s="182"/>
      <c r="H390" s="182"/>
      <c r="I390" s="182"/>
      <c r="J390" s="198"/>
      <c r="K390" s="197"/>
      <c r="L390" s="197"/>
      <c r="M390" s="198"/>
      <c r="N390" s="198"/>
      <c r="P390" s="139" t="str">
        <f t="shared" si="38"/>
        <v/>
      </c>
      <c r="Q390" s="139" t="str">
        <f t="shared" si="39"/>
        <v/>
      </c>
      <c r="AA390" s="139" t="s">
        <v>962</v>
      </c>
      <c r="AB390" s="139" t="s">
        <v>963</v>
      </c>
    </row>
    <row r="391" spans="1:28">
      <c r="A391" s="149"/>
      <c r="B391" s="144" t="str">
        <f t="shared" si="35"/>
        <v/>
      </c>
      <c r="C391" s="149"/>
      <c r="D391" s="144" t="str">
        <f t="shared" si="36"/>
        <v/>
      </c>
      <c r="E391" s="183"/>
      <c r="F391" s="144" t="str">
        <f t="shared" si="37"/>
        <v/>
      </c>
      <c r="G391" s="182"/>
      <c r="H391" s="182"/>
      <c r="I391" s="182"/>
      <c r="J391" s="198"/>
      <c r="K391" s="197"/>
      <c r="L391" s="197"/>
      <c r="M391" s="198"/>
      <c r="N391" s="198"/>
      <c r="P391" s="139" t="str">
        <f t="shared" si="38"/>
        <v/>
      </c>
      <c r="Q391" s="139" t="str">
        <f t="shared" si="39"/>
        <v/>
      </c>
      <c r="AA391" s="139" t="s">
        <v>964</v>
      </c>
      <c r="AB391" s="139" t="s">
        <v>965</v>
      </c>
    </row>
    <row r="392" spans="1:28">
      <c r="A392" s="149"/>
      <c r="B392" s="144" t="str">
        <f t="shared" si="35"/>
        <v/>
      </c>
      <c r="C392" s="149"/>
      <c r="D392" s="144" t="str">
        <f t="shared" si="36"/>
        <v/>
      </c>
      <c r="E392" s="183"/>
      <c r="F392" s="144" t="str">
        <f t="shared" si="37"/>
        <v/>
      </c>
      <c r="G392" s="182"/>
      <c r="H392" s="182"/>
      <c r="I392" s="182"/>
      <c r="J392" s="198"/>
      <c r="K392" s="197"/>
      <c r="L392" s="197"/>
      <c r="M392" s="198"/>
      <c r="N392" s="198"/>
      <c r="P392" s="139" t="str">
        <f t="shared" si="38"/>
        <v/>
      </c>
      <c r="Q392" s="139" t="str">
        <f t="shared" si="39"/>
        <v/>
      </c>
      <c r="AA392" s="139" t="s">
        <v>966</v>
      </c>
      <c r="AB392" s="139" t="s">
        <v>967</v>
      </c>
    </row>
    <row r="393" spans="1:28">
      <c r="A393" s="149"/>
      <c r="B393" s="144" t="str">
        <f t="shared" si="35"/>
        <v/>
      </c>
      <c r="C393" s="149"/>
      <c r="D393" s="144" t="str">
        <f t="shared" si="36"/>
        <v/>
      </c>
      <c r="E393" s="183"/>
      <c r="F393" s="144" t="str">
        <f t="shared" si="37"/>
        <v/>
      </c>
      <c r="G393" s="182"/>
      <c r="H393" s="182"/>
      <c r="I393" s="182"/>
      <c r="J393" s="198"/>
      <c r="K393" s="197"/>
      <c r="L393" s="197"/>
      <c r="M393" s="198"/>
      <c r="N393" s="198"/>
      <c r="P393" s="139" t="str">
        <f t="shared" si="38"/>
        <v/>
      </c>
      <c r="Q393" s="139" t="str">
        <f t="shared" si="39"/>
        <v/>
      </c>
      <c r="AA393" s="139" t="s">
        <v>968</v>
      </c>
      <c r="AB393" s="139" t="s">
        <v>969</v>
      </c>
    </row>
    <row r="394" spans="1:28">
      <c r="A394" s="149"/>
      <c r="B394" s="144" t="str">
        <f t="shared" si="35"/>
        <v/>
      </c>
      <c r="C394" s="149"/>
      <c r="D394" s="144" t="str">
        <f t="shared" si="36"/>
        <v/>
      </c>
      <c r="E394" s="183"/>
      <c r="F394" s="144" t="str">
        <f t="shared" si="37"/>
        <v/>
      </c>
      <c r="G394" s="182"/>
      <c r="H394" s="182"/>
      <c r="I394" s="182"/>
      <c r="J394" s="198"/>
      <c r="K394" s="197"/>
      <c r="L394" s="197"/>
      <c r="M394" s="198"/>
      <c r="N394" s="198"/>
      <c r="P394" s="139" t="str">
        <f t="shared" si="38"/>
        <v/>
      </c>
      <c r="Q394" s="139" t="str">
        <f t="shared" si="39"/>
        <v/>
      </c>
      <c r="AA394" s="139" t="s">
        <v>970</v>
      </c>
      <c r="AB394" s="139" t="s">
        <v>971</v>
      </c>
    </row>
    <row r="395" spans="1:28">
      <c r="A395" s="149"/>
      <c r="B395" s="144" t="str">
        <f t="shared" si="35"/>
        <v/>
      </c>
      <c r="C395" s="149"/>
      <c r="D395" s="144" t="str">
        <f t="shared" si="36"/>
        <v/>
      </c>
      <c r="E395" s="183"/>
      <c r="F395" s="144" t="str">
        <f t="shared" si="37"/>
        <v/>
      </c>
      <c r="G395" s="182"/>
      <c r="H395" s="182"/>
      <c r="I395" s="182"/>
      <c r="J395" s="198"/>
      <c r="K395" s="197"/>
      <c r="L395" s="197"/>
      <c r="M395" s="198"/>
      <c r="N395" s="198"/>
      <c r="P395" s="139" t="str">
        <f t="shared" si="38"/>
        <v/>
      </c>
      <c r="Q395" s="139" t="str">
        <f t="shared" si="39"/>
        <v/>
      </c>
      <c r="AA395" s="139" t="s">
        <v>972</v>
      </c>
      <c r="AB395" s="139" t="s">
        <v>973</v>
      </c>
    </row>
    <row r="396" spans="1:28">
      <c r="A396" s="149"/>
      <c r="B396" s="144" t="str">
        <f t="shared" si="35"/>
        <v/>
      </c>
      <c r="C396" s="149"/>
      <c r="D396" s="144" t="str">
        <f t="shared" si="36"/>
        <v/>
      </c>
      <c r="E396" s="183"/>
      <c r="F396" s="144" t="str">
        <f t="shared" si="37"/>
        <v/>
      </c>
      <c r="G396" s="182"/>
      <c r="H396" s="182"/>
      <c r="I396" s="182"/>
      <c r="J396" s="198"/>
      <c r="K396" s="197"/>
      <c r="L396" s="197"/>
      <c r="M396" s="198"/>
      <c r="N396" s="198"/>
      <c r="P396" s="139" t="str">
        <f t="shared" si="38"/>
        <v/>
      </c>
      <c r="Q396" s="139" t="str">
        <f t="shared" si="39"/>
        <v/>
      </c>
      <c r="AA396" s="139" t="s">
        <v>974</v>
      </c>
      <c r="AB396" s="139" t="s">
        <v>975</v>
      </c>
    </row>
    <row r="397" spans="1:28">
      <c r="A397" s="149"/>
      <c r="B397" s="144" t="str">
        <f t="shared" si="35"/>
        <v/>
      </c>
      <c r="C397" s="149"/>
      <c r="D397" s="144" t="str">
        <f t="shared" si="36"/>
        <v/>
      </c>
      <c r="E397" s="183"/>
      <c r="F397" s="144" t="str">
        <f t="shared" si="37"/>
        <v/>
      </c>
      <c r="G397" s="182"/>
      <c r="H397" s="182"/>
      <c r="I397" s="182"/>
      <c r="J397" s="198"/>
      <c r="K397" s="197"/>
      <c r="L397" s="197"/>
      <c r="M397" s="198"/>
      <c r="N397" s="198"/>
      <c r="P397" s="139" t="str">
        <f t="shared" si="38"/>
        <v/>
      </c>
      <c r="Q397" s="139" t="str">
        <f t="shared" si="39"/>
        <v/>
      </c>
      <c r="AA397" s="139" t="s">
        <v>976</v>
      </c>
      <c r="AB397" s="139" t="s">
        <v>977</v>
      </c>
    </row>
    <row r="398" spans="1:28">
      <c r="A398" s="149"/>
      <c r="B398" s="144" t="str">
        <f t="shared" si="35"/>
        <v/>
      </c>
      <c r="C398" s="149"/>
      <c r="D398" s="144" t="str">
        <f t="shared" si="36"/>
        <v/>
      </c>
      <c r="E398" s="183"/>
      <c r="F398" s="144" t="str">
        <f t="shared" si="37"/>
        <v/>
      </c>
      <c r="G398" s="182"/>
      <c r="H398" s="182"/>
      <c r="I398" s="182"/>
      <c r="J398" s="198"/>
      <c r="K398" s="197"/>
      <c r="L398" s="197"/>
      <c r="M398" s="198"/>
      <c r="N398" s="198"/>
      <c r="P398" s="139" t="str">
        <f t="shared" si="38"/>
        <v/>
      </c>
      <c r="Q398" s="139" t="str">
        <f t="shared" si="39"/>
        <v/>
      </c>
      <c r="AA398" s="139" t="s">
        <v>978</v>
      </c>
      <c r="AB398" s="139" t="s">
        <v>979</v>
      </c>
    </row>
    <row r="399" spans="1:28">
      <c r="A399" s="149"/>
      <c r="B399" s="144" t="str">
        <f t="shared" si="35"/>
        <v/>
      </c>
      <c r="C399" s="149"/>
      <c r="D399" s="144" t="str">
        <f t="shared" si="36"/>
        <v/>
      </c>
      <c r="E399" s="183"/>
      <c r="F399" s="144" t="str">
        <f t="shared" si="37"/>
        <v/>
      </c>
      <c r="G399" s="182"/>
      <c r="H399" s="182"/>
      <c r="I399" s="182"/>
      <c r="J399" s="198"/>
      <c r="K399" s="197"/>
      <c r="L399" s="197"/>
      <c r="M399" s="198"/>
      <c r="N399" s="198"/>
      <c r="P399" s="139" t="str">
        <f t="shared" si="38"/>
        <v/>
      </c>
      <c r="Q399" s="139" t="str">
        <f t="shared" si="39"/>
        <v/>
      </c>
      <c r="AA399" s="139" t="s">
        <v>980</v>
      </c>
      <c r="AB399" s="139" t="s">
        <v>981</v>
      </c>
    </row>
    <row r="400" spans="1:28">
      <c r="A400" s="149"/>
      <c r="B400" s="144" t="str">
        <f t="shared" si="35"/>
        <v/>
      </c>
      <c r="C400" s="149"/>
      <c r="D400" s="144" t="str">
        <f t="shared" si="36"/>
        <v/>
      </c>
      <c r="E400" s="183"/>
      <c r="F400" s="144" t="str">
        <f t="shared" si="37"/>
        <v/>
      </c>
      <c r="G400" s="182"/>
      <c r="H400" s="182"/>
      <c r="I400" s="182"/>
      <c r="J400" s="198"/>
      <c r="K400" s="197"/>
      <c r="L400" s="197"/>
      <c r="M400" s="198"/>
      <c r="N400" s="198"/>
      <c r="P400" s="139" t="str">
        <f t="shared" si="38"/>
        <v/>
      </c>
      <c r="Q400" s="139" t="str">
        <f t="shared" si="39"/>
        <v/>
      </c>
      <c r="AA400" s="139" t="s">
        <v>982</v>
      </c>
      <c r="AB400" s="139" t="s">
        <v>983</v>
      </c>
    </row>
    <row r="401" spans="1:28">
      <c r="A401" s="149"/>
      <c r="B401" s="144" t="str">
        <f t="shared" si="35"/>
        <v/>
      </c>
      <c r="C401" s="149"/>
      <c r="D401" s="144" t="str">
        <f t="shared" si="36"/>
        <v/>
      </c>
      <c r="E401" s="183"/>
      <c r="F401" s="144" t="str">
        <f t="shared" si="37"/>
        <v/>
      </c>
      <c r="G401" s="182"/>
      <c r="H401" s="182"/>
      <c r="I401" s="182"/>
      <c r="J401" s="198"/>
      <c r="K401" s="197"/>
      <c r="L401" s="197"/>
      <c r="M401" s="198"/>
      <c r="N401" s="198"/>
      <c r="P401" s="139" t="str">
        <f t="shared" si="38"/>
        <v/>
      </c>
      <c r="Q401" s="139" t="str">
        <f t="shared" si="39"/>
        <v/>
      </c>
      <c r="AA401" s="139" t="s">
        <v>1581</v>
      </c>
      <c r="AB401" s="139" t="s">
        <v>1582</v>
      </c>
    </row>
    <row r="402" spans="1:28">
      <c r="A402" s="149"/>
      <c r="B402" s="144" t="str">
        <f t="shared" si="35"/>
        <v/>
      </c>
      <c r="C402" s="149"/>
      <c r="D402" s="144" t="str">
        <f t="shared" si="36"/>
        <v/>
      </c>
      <c r="E402" s="183"/>
      <c r="F402" s="144" t="str">
        <f t="shared" si="37"/>
        <v/>
      </c>
      <c r="G402" s="182"/>
      <c r="H402" s="182"/>
      <c r="I402" s="182"/>
      <c r="J402" s="198"/>
      <c r="K402" s="197"/>
      <c r="L402" s="197"/>
      <c r="M402" s="198"/>
      <c r="N402" s="198"/>
      <c r="P402" s="139" t="str">
        <f t="shared" si="38"/>
        <v/>
      </c>
      <c r="Q402" s="139" t="str">
        <f t="shared" si="39"/>
        <v/>
      </c>
      <c r="AA402" s="139" t="s">
        <v>1583</v>
      </c>
      <c r="AB402" s="139" t="s">
        <v>1584</v>
      </c>
    </row>
    <row r="403" spans="1:28">
      <c r="A403" s="149"/>
      <c r="B403" s="144" t="str">
        <f t="shared" si="35"/>
        <v/>
      </c>
      <c r="C403" s="149"/>
      <c r="D403" s="144" t="str">
        <f t="shared" si="36"/>
        <v/>
      </c>
      <c r="E403" s="183"/>
      <c r="F403" s="144" t="str">
        <f t="shared" si="37"/>
        <v/>
      </c>
      <c r="G403" s="182"/>
      <c r="H403" s="182"/>
      <c r="I403" s="182"/>
      <c r="J403" s="198"/>
      <c r="K403" s="197"/>
      <c r="L403" s="197"/>
      <c r="M403" s="198"/>
      <c r="N403" s="198"/>
      <c r="P403" s="139" t="str">
        <f t="shared" si="38"/>
        <v/>
      </c>
      <c r="Q403" s="139" t="str">
        <f t="shared" si="39"/>
        <v/>
      </c>
      <c r="AA403" s="139" t="s">
        <v>1585</v>
      </c>
      <c r="AB403" s="139" t="s">
        <v>1586</v>
      </c>
    </row>
    <row r="404" spans="1:28">
      <c r="A404" s="149"/>
      <c r="B404" s="144" t="str">
        <f t="shared" si="35"/>
        <v/>
      </c>
      <c r="C404" s="149"/>
      <c r="D404" s="144" t="str">
        <f t="shared" si="36"/>
        <v/>
      </c>
      <c r="E404" s="183"/>
      <c r="F404" s="144" t="str">
        <f t="shared" si="37"/>
        <v/>
      </c>
      <c r="G404" s="182"/>
      <c r="H404" s="182"/>
      <c r="I404" s="182"/>
      <c r="J404" s="198"/>
      <c r="K404" s="197"/>
      <c r="L404" s="197"/>
      <c r="M404" s="198"/>
      <c r="N404" s="198"/>
      <c r="P404" s="139" t="str">
        <f t="shared" si="38"/>
        <v/>
      </c>
      <c r="Q404" s="139" t="str">
        <f t="shared" si="39"/>
        <v/>
      </c>
      <c r="AA404" s="139" t="s">
        <v>1587</v>
      </c>
      <c r="AB404" s="139" t="s">
        <v>1588</v>
      </c>
    </row>
    <row r="405" spans="1:28">
      <c r="A405" s="149"/>
      <c r="B405" s="144" t="str">
        <f t="shared" si="35"/>
        <v/>
      </c>
      <c r="C405" s="149"/>
      <c r="D405" s="144" t="str">
        <f t="shared" si="36"/>
        <v/>
      </c>
      <c r="E405" s="183"/>
      <c r="F405" s="144" t="str">
        <f t="shared" si="37"/>
        <v/>
      </c>
      <c r="G405" s="182"/>
      <c r="H405" s="182"/>
      <c r="I405" s="182"/>
      <c r="J405" s="198"/>
      <c r="K405" s="197"/>
      <c r="L405" s="197"/>
      <c r="M405" s="198"/>
      <c r="N405" s="198"/>
      <c r="P405" s="139" t="str">
        <f t="shared" si="38"/>
        <v/>
      </c>
      <c r="Q405" s="139" t="str">
        <f t="shared" si="39"/>
        <v/>
      </c>
      <c r="AA405" s="139" t="s">
        <v>1589</v>
      </c>
      <c r="AB405" s="139" t="s">
        <v>1590</v>
      </c>
    </row>
    <row r="406" spans="1:28">
      <c r="A406" s="149"/>
      <c r="B406" s="144" t="str">
        <f t="shared" si="35"/>
        <v/>
      </c>
      <c r="C406" s="149"/>
      <c r="D406" s="144" t="str">
        <f t="shared" si="36"/>
        <v/>
      </c>
      <c r="E406" s="183"/>
      <c r="F406" s="144" t="str">
        <f t="shared" si="37"/>
        <v/>
      </c>
      <c r="G406" s="182"/>
      <c r="H406" s="182"/>
      <c r="I406" s="182"/>
      <c r="J406" s="198"/>
      <c r="K406" s="197"/>
      <c r="L406" s="197"/>
      <c r="M406" s="198"/>
      <c r="N406" s="198"/>
      <c r="P406" s="139" t="str">
        <f t="shared" si="38"/>
        <v/>
      </c>
      <c r="Q406" s="139" t="str">
        <f t="shared" si="39"/>
        <v/>
      </c>
      <c r="AA406" s="139" t="s">
        <v>1591</v>
      </c>
      <c r="AB406" s="139" t="s">
        <v>1592</v>
      </c>
    </row>
    <row r="407" spans="1:28">
      <c r="A407" s="149"/>
      <c r="B407" s="144" t="str">
        <f t="shared" si="35"/>
        <v/>
      </c>
      <c r="C407" s="149"/>
      <c r="D407" s="144" t="str">
        <f t="shared" si="36"/>
        <v/>
      </c>
      <c r="E407" s="183"/>
      <c r="F407" s="144" t="str">
        <f t="shared" si="37"/>
        <v/>
      </c>
      <c r="G407" s="182"/>
      <c r="H407" s="182"/>
      <c r="I407" s="182"/>
      <c r="J407" s="198"/>
      <c r="K407" s="197"/>
      <c r="L407" s="197"/>
      <c r="M407" s="198"/>
      <c r="N407" s="198"/>
      <c r="P407" s="139" t="str">
        <f t="shared" si="38"/>
        <v/>
      </c>
      <c r="Q407" s="139" t="str">
        <f t="shared" si="39"/>
        <v/>
      </c>
      <c r="AA407" s="139" t="s">
        <v>1593</v>
      </c>
      <c r="AB407" s="139" t="s">
        <v>1594</v>
      </c>
    </row>
    <row r="408" spans="1:28">
      <c r="A408" s="149"/>
      <c r="B408" s="144" t="str">
        <f t="shared" si="35"/>
        <v/>
      </c>
      <c r="C408" s="149"/>
      <c r="D408" s="144" t="str">
        <f t="shared" si="36"/>
        <v/>
      </c>
      <c r="E408" s="183"/>
      <c r="F408" s="144" t="str">
        <f t="shared" si="37"/>
        <v/>
      </c>
      <c r="G408" s="182"/>
      <c r="H408" s="182"/>
      <c r="I408" s="182"/>
      <c r="J408" s="198"/>
      <c r="K408" s="197"/>
      <c r="L408" s="197"/>
      <c r="M408" s="198"/>
      <c r="N408" s="198"/>
      <c r="P408" s="139" t="str">
        <f t="shared" si="38"/>
        <v/>
      </c>
      <c r="Q408" s="139" t="str">
        <f t="shared" si="39"/>
        <v/>
      </c>
      <c r="AA408" s="139" t="s">
        <v>1595</v>
      </c>
      <c r="AB408" s="139" t="s">
        <v>1596</v>
      </c>
    </row>
    <row r="409" spans="1:28">
      <c r="A409" s="149"/>
      <c r="B409" s="144" t="str">
        <f t="shared" si="35"/>
        <v/>
      </c>
      <c r="C409" s="149"/>
      <c r="D409" s="144" t="str">
        <f t="shared" si="36"/>
        <v/>
      </c>
      <c r="E409" s="183"/>
      <c r="F409" s="144" t="str">
        <f t="shared" si="37"/>
        <v/>
      </c>
      <c r="G409" s="182"/>
      <c r="H409" s="182"/>
      <c r="I409" s="182"/>
      <c r="J409" s="198"/>
      <c r="K409" s="197"/>
      <c r="L409" s="197"/>
      <c r="M409" s="198"/>
      <c r="N409" s="198"/>
      <c r="P409" s="139" t="str">
        <f t="shared" si="38"/>
        <v/>
      </c>
      <c r="Q409" s="139" t="str">
        <f t="shared" si="39"/>
        <v/>
      </c>
      <c r="AA409" s="139" t="s">
        <v>1597</v>
      </c>
      <c r="AB409" s="139" t="s">
        <v>1598</v>
      </c>
    </row>
    <row r="410" spans="1:28">
      <c r="A410" s="149"/>
      <c r="B410" s="144" t="str">
        <f t="shared" si="35"/>
        <v/>
      </c>
      <c r="C410" s="149"/>
      <c r="D410" s="144" t="str">
        <f t="shared" si="36"/>
        <v/>
      </c>
      <c r="E410" s="183"/>
      <c r="F410" s="144" t="str">
        <f t="shared" si="37"/>
        <v/>
      </c>
      <c r="G410" s="182"/>
      <c r="H410" s="182"/>
      <c r="I410" s="182"/>
      <c r="J410" s="198"/>
      <c r="K410" s="197"/>
      <c r="L410" s="197"/>
      <c r="M410" s="198"/>
      <c r="N410" s="198"/>
      <c r="P410" s="139" t="str">
        <f t="shared" si="38"/>
        <v/>
      </c>
      <c r="Q410" s="139" t="str">
        <f t="shared" si="39"/>
        <v/>
      </c>
      <c r="AA410" s="139" t="s">
        <v>1599</v>
      </c>
      <c r="AB410" s="139" t="s">
        <v>1600</v>
      </c>
    </row>
    <row r="411" spans="1:28">
      <c r="A411" s="149"/>
      <c r="B411" s="144" t="str">
        <f t="shared" si="35"/>
        <v/>
      </c>
      <c r="C411" s="149"/>
      <c r="D411" s="144" t="str">
        <f t="shared" si="36"/>
        <v/>
      </c>
      <c r="E411" s="183"/>
      <c r="F411" s="144" t="str">
        <f t="shared" si="37"/>
        <v/>
      </c>
      <c r="G411" s="182"/>
      <c r="H411" s="182"/>
      <c r="I411" s="182"/>
      <c r="J411" s="198"/>
      <c r="K411" s="197"/>
      <c r="L411" s="197"/>
      <c r="M411" s="198"/>
      <c r="N411" s="198"/>
      <c r="P411" s="139" t="str">
        <f t="shared" si="38"/>
        <v/>
      </c>
      <c r="Q411" s="139" t="str">
        <f t="shared" si="39"/>
        <v/>
      </c>
      <c r="AA411" s="139" t="s">
        <v>1601</v>
      </c>
      <c r="AB411" s="139" t="s">
        <v>1602</v>
      </c>
    </row>
    <row r="412" spans="1:28">
      <c r="A412" s="149"/>
      <c r="B412" s="144" t="str">
        <f t="shared" si="35"/>
        <v/>
      </c>
      <c r="C412" s="149"/>
      <c r="D412" s="144" t="str">
        <f t="shared" si="36"/>
        <v/>
      </c>
      <c r="E412" s="183"/>
      <c r="F412" s="144" t="str">
        <f t="shared" si="37"/>
        <v/>
      </c>
      <c r="G412" s="182"/>
      <c r="H412" s="182"/>
      <c r="I412" s="182"/>
      <c r="J412" s="198"/>
      <c r="K412" s="197"/>
      <c r="L412" s="197"/>
      <c r="M412" s="198"/>
      <c r="N412" s="198"/>
      <c r="P412" s="139" t="str">
        <f t="shared" si="38"/>
        <v/>
      </c>
      <c r="Q412" s="139" t="str">
        <f t="shared" si="39"/>
        <v/>
      </c>
      <c r="AA412" s="139" t="s">
        <v>1603</v>
      </c>
      <c r="AB412" s="139" t="s">
        <v>1604</v>
      </c>
    </row>
    <row r="413" spans="1:28">
      <c r="A413" s="149"/>
      <c r="B413" s="144" t="str">
        <f t="shared" si="35"/>
        <v/>
      </c>
      <c r="C413" s="149"/>
      <c r="D413" s="144" t="str">
        <f t="shared" si="36"/>
        <v/>
      </c>
      <c r="E413" s="183"/>
      <c r="F413" s="144" t="str">
        <f t="shared" si="37"/>
        <v/>
      </c>
      <c r="G413" s="182"/>
      <c r="H413" s="182"/>
      <c r="I413" s="182"/>
      <c r="J413" s="198"/>
      <c r="K413" s="197"/>
      <c r="L413" s="197"/>
      <c r="M413" s="198"/>
      <c r="N413" s="198"/>
      <c r="P413" s="139" t="str">
        <f t="shared" si="38"/>
        <v/>
      </c>
      <c r="Q413" s="139" t="str">
        <f t="shared" si="39"/>
        <v/>
      </c>
      <c r="AA413" s="139" t="s">
        <v>1605</v>
      </c>
      <c r="AB413" s="139" t="s">
        <v>1606</v>
      </c>
    </row>
    <row r="414" spans="1:28">
      <c r="A414" s="149"/>
      <c r="B414" s="144" t="str">
        <f t="shared" si="35"/>
        <v/>
      </c>
      <c r="C414" s="149"/>
      <c r="D414" s="144" t="str">
        <f t="shared" si="36"/>
        <v/>
      </c>
      <c r="E414" s="183"/>
      <c r="F414" s="144" t="str">
        <f t="shared" si="37"/>
        <v/>
      </c>
      <c r="G414" s="182"/>
      <c r="H414" s="182"/>
      <c r="I414" s="182"/>
      <c r="J414" s="198"/>
      <c r="K414" s="197"/>
      <c r="L414" s="197"/>
      <c r="M414" s="198"/>
      <c r="N414" s="198"/>
      <c r="P414" s="139" t="str">
        <f t="shared" si="38"/>
        <v/>
      </c>
      <c r="Q414" s="139" t="str">
        <f t="shared" si="39"/>
        <v/>
      </c>
      <c r="AA414" s="139" t="s">
        <v>1607</v>
      </c>
      <c r="AB414" s="139" t="s">
        <v>1608</v>
      </c>
    </row>
    <row r="415" spans="1:28">
      <c r="A415" s="149"/>
      <c r="B415" s="144" t="str">
        <f t="shared" si="35"/>
        <v/>
      </c>
      <c r="C415" s="149"/>
      <c r="D415" s="144" t="str">
        <f t="shared" si="36"/>
        <v/>
      </c>
      <c r="E415" s="183"/>
      <c r="F415" s="144" t="str">
        <f t="shared" si="37"/>
        <v/>
      </c>
      <c r="G415" s="182"/>
      <c r="H415" s="182"/>
      <c r="I415" s="182"/>
      <c r="J415" s="198"/>
      <c r="K415" s="197"/>
      <c r="L415" s="197"/>
      <c r="M415" s="198"/>
      <c r="N415" s="198"/>
      <c r="P415" s="139" t="str">
        <f t="shared" si="38"/>
        <v/>
      </c>
      <c r="Q415" s="139" t="str">
        <f t="shared" si="39"/>
        <v/>
      </c>
      <c r="AA415" s="139" t="s">
        <v>1609</v>
      </c>
      <c r="AB415" s="139" t="s">
        <v>1610</v>
      </c>
    </row>
    <row r="416" spans="1:28">
      <c r="A416" s="149"/>
      <c r="B416" s="144" t="str">
        <f t="shared" si="35"/>
        <v/>
      </c>
      <c r="C416" s="149"/>
      <c r="D416" s="144" t="str">
        <f t="shared" si="36"/>
        <v/>
      </c>
      <c r="E416" s="183"/>
      <c r="F416" s="144" t="str">
        <f t="shared" si="37"/>
        <v/>
      </c>
      <c r="G416" s="182"/>
      <c r="H416" s="182"/>
      <c r="I416" s="182"/>
      <c r="J416" s="198"/>
      <c r="K416" s="197"/>
      <c r="L416" s="197"/>
      <c r="M416" s="198"/>
      <c r="N416" s="198"/>
      <c r="P416" s="139" t="str">
        <f t="shared" si="38"/>
        <v/>
      </c>
      <c r="Q416" s="139" t="str">
        <f t="shared" si="39"/>
        <v/>
      </c>
      <c r="AA416" s="139" t="s">
        <v>1611</v>
      </c>
      <c r="AB416" s="139" t="s">
        <v>1612</v>
      </c>
    </row>
    <row r="417" spans="1:28">
      <c r="A417" s="149"/>
      <c r="B417" s="144" t="str">
        <f t="shared" si="35"/>
        <v/>
      </c>
      <c r="C417" s="149"/>
      <c r="D417" s="144" t="str">
        <f t="shared" si="36"/>
        <v/>
      </c>
      <c r="E417" s="183"/>
      <c r="F417" s="144" t="str">
        <f t="shared" si="37"/>
        <v/>
      </c>
      <c r="G417" s="182"/>
      <c r="H417" s="182"/>
      <c r="I417" s="182"/>
      <c r="J417" s="198"/>
      <c r="K417" s="197"/>
      <c r="L417" s="197"/>
      <c r="M417" s="198"/>
      <c r="N417" s="198"/>
      <c r="P417" s="139" t="str">
        <f t="shared" si="38"/>
        <v/>
      </c>
      <c r="Q417" s="139" t="str">
        <f t="shared" si="39"/>
        <v/>
      </c>
      <c r="AA417" s="139" t="s">
        <v>1613</v>
      </c>
      <c r="AB417" s="139" t="s">
        <v>1614</v>
      </c>
    </row>
    <row r="418" spans="1:28">
      <c r="A418" s="149"/>
      <c r="B418" s="144" t="str">
        <f t="shared" si="35"/>
        <v/>
      </c>
      <c r="C418" s="149"/>
      <c r="D418" s="144" t="str">
        <f t="shared" si="36"/>
        <v/>
      </c>
      <c r="E418" s="183"/>
      <c r="F418" s="144" t="str">
        <f t="shared" si="37"/>
        <v/>
      </c>
      <c r="G418" s="182"/>
      <c r="H418" s="182"/>
      <c r="I418" s="182"/>
      <c r="J418" s="198"/>
      <c r="K418" s="197"/>
      <c r="L418" s="197"/>
      <c r="M418" s="198"/>
      <c r="N418" s="198"/>
      <c r="P418" s="139" t="str">
        <f t="shared" si="38"/>
        <v/>
      </c>
      <c r="Q418" s="139" t="str">
        <f t="shared" si="39"/>
        <v/>
      </c>
      <c r="AA418" s="139" t="s">
        <v>1615</v>
      </c>
      <c r="AB418" s="139" t="s">
        <v>1616</v>
      </c>
    </row>
    <row r="419" spans="1:28">
      <c r="A419" s="149"/>
      <c r="B419" s="144" t="str">
        <f t="shared" si="35"/>
        <v/>
      </c>
      <c r="C419" s="149"/>
      <c r="D419" s="144" t="str">
        <f t="shared" si="36"/>
        <v/>
      </c>
      <c r="E419" s="183"/>
      <c r="F419" s="144" t="str">
        <f t="shared" si="37"/>
        <v/>
      </c>
      <c r="G419" s="182"/>
      <c r="H419" s="182"/>
      <c r="I419" s="182"/>
      <c r="J419" s="198"/>
      <c r="K419" s="197"/>
      <c r="L419" s="197"/>
      <c r="M419" s="198"/>
      <c r="N419" s="198"/>
      <c r="P419" s="139" t="str">
        <f t="shared" si="38"/>
        <v/>
      </c>
      <c r="Q419" s="139" t="str">
        <f t="shared" si="39"/>
        <v/>
      </c>
      <c r="AA419" s="139" t="s">
        <v>1617</v>
      </c>
      <c r="AB419" s="139" t="s">
        <v>1618</v>
      </c>
    </row>
    <row r="420" spans="1:28">
      <c r="A420" s="149"/>
      <c r="B420" s="144" t="str">
        <f t="shared" si="35"/>
        <v/>
      </c>
      <c r="C420" s="149"/>
      <c r="D420" s="144" t="str">
        <f t="shared" si="36"/>
        <v/>
      </c>
      <c r="E420" s="183"/>
      <c r="F420" s="144" t="str">
        <f t="shared" si="37"/>
        <v/>
      </c>
      <c r="G420" s="182"/>
      <c r="H420" s="182"/>
      <c r="I420" s="182"/>
      <c r="J420" s="198"/>
      <c r="K420" s="197"/>
      <c r="L420" s="197"/>
      <c r="M420" s="198"/>
      <c r="N420" s="198"/>
      <c r="P420" s="139" t="str">
        <f t="shared" si="38"/>
        <v/>
      </c>
      <c r="Q420" s="139" t="str">
        <f t="shared" si="39"/>
        <v/>
      </c>
      <c r="AA420" s="139" t="s">
        <v>1619</v>
      </c>
      <c r="AB420" s="139" t="s">
        <v>1620</v>
      </c>
    </row>
    <row r="421" spans="1:28">
      <c r="A421" s="149"/>
      <c r="B421" s="144" t="str">
        <f t="shared" si="35"/>
        <v/>
      </c>
      <c r="C421" s="149"/>
      <c r="D421" s="144" t="str">
        <f t="shared" si="36"/>
        <v/>
      </c>
      <c r="E421" s="183"/>
      <c r="F421" s="144" t="str">
        <f t="shared" si="37"/>
        <v/>
      </c>
      <c r="G421" s="182"/>
      <c r="H421" s="182"/>
      <c r="I421" s="182"/>
      <c r="J421" s="198"/>
      <c r="K421" s="197"/>
      <c r="L421" s="197"/>
      <c r="M421" s="198"/>
      <c r="N421" s="198"/>
      <c r="P421" s="139" t="str">
        <f t="shared" si="38"/>
        <v/>
      </c>
      <c r="Q421" s="139" t="str">
        <f t="shared" si="39"/>
        <v/>
      </c>
      <c r="AA421" s="139" t="s">
        <v>1621</v>
      </c>
      <c r="AB421" s="139" t="s">
        <v>1622</v>
      </c>
    </row>
    <row r="422" spans="1:28">
      <c r="A422" s="149"/>
      <c r="B422" s="144" t="str">
        <f t="shared" si="35"/>
        <v/>
      </c>
      <c r="C422" s="149"/>
      <c r="D422" s="144" t="str">
        <f t="shared" si="36"/>
        <v/>
      </c>
      <c r="E422" s="183"/>
      <c r="F422" s="144" t="str">
        <f t="shared" si="37"/>
        <v/>
      </c>
      <c r="G422" s="182"/>
      <c r="H422" s="182"/>
      <c r="I422" s="182"/>
      <c r="J422" s="198"/>
      <c r="K422" s="197"/>
      <c r="L422" s="197"/>
      <c r="M422" s="198"/>
      <c r="N422" s="198"/>
      <c r="P422" s="139" t="str">
        <f t="shared" si="38"/>
        <v/>
      </c>
      <c r="Q422" s="139" t="str">
        <f t="shared" si="39"/>
        <v/>
      </c>
      <c r="AA422" s="139" t="s">
        <v>1623</v>
      </c>
      <c r="AB422" s="139" t="s">
        <v>1624</v>
      </c>
    </row>
    <row r="423" spans="1:28">
      <c r="A423" s="149"/>
      <c r="B423" s="144" t="str">
        <f t="shared" si="35"/>
        <v/>
      </c>
      <c r="C423" s="149"/>
      <c r="D423" s="144" t="str">
        <f t="shared" si="36"/>
        <v/>
      </c>
      <c r="E423" s="183"/>
      <c r="F423" s="144" t="str">
        <f t="shared" si="37"/>
        <v/>
      </c>
      <c r="G423" s="182"/>
      <c r="H423" s="182"/>
      <c r="I423" s="182"/>
      <c r="J423" s="198"/>
      <c r="K423" s="197"/>
      <c r="L423" s="197"/>
      <c r="M423" s="198"/>
      <c r="N423" s="198"/>
      <c r="P423" s="139" t="str">
        <f t="shared" si="38"/>
        <v/>
      </c>
      <c r="Q423" s="139" t="str">
        <f t="shared" si="39"/>
        <v/>
      </c>
      <c r="AA423" s="139" t="s">
        <v>1625</v>
      </c>
      <c r="AB423" s="139" t="s">
        <v>1626</v>
      </c>
    </row>
    <row r="424" spans="1:28">
      <c r="A424" s="149"/>
      <c r="B424" s="144" t="str">
        <f t="shared" si="35"/>
        <v/>
      </c>
      <c r="C424" s="149"/>
      <c r="D424" s="144" t="str">
        <f t="shared" si="36"/>
        <v/>
      </c>
      <c r="E424" s="183"/>
      <c r="F424" s="144" t="str">
        <f t="shared" si="37"/>
        <v/>
      </c>
      <c r="G424" s="182"/>
      <c r="H424" s="182"/>
      <c r="I424" s="182"/>
      <c r="J424" s="198"/>
      <c r="K424" s="197"/>
      <c r="L424" s="197"/>
      <c r="M424" s="198"/>
      <c r="N424" s="198"/>
      <c r="P424" s="139" t="str">
        <f t="shared" si="38"/>
        <v/>
      </c>
      <c r="Q424" s="139" t="str">
        <f t="shared" si="39"/>
        <v/>
      </c>
      <c r="AA424" s="139" t="s">
        <v>1627</v>
      </c>
      <c r="AB424" s="139" t="s">
        <v>1628</v>
      </c>
    </row>
    <row r="425" spans="1:28">
      <c r="A425" s="149"/>
      <c r="B425" s="144" t="str">
        <f t="shared" si="35"/>
        <v/>
      </c>
      <c r="C425" s="149"/>
      <c r="D425" s="144" t="str">
        <f t="shared" si="36"/>
        <v/>
      </c>
      <c r="E425" s="183"/>
      <c r="F425" s="144" t="str">
        <f t="shared" si="37"/>
        <v/>
      </c>
      <c r="G425" s="182"/>
      <c r="H425" s="182"/>
      <c r="I425" s="182"/>
      <c r="J425" s="198"/>
      <c r="K425" s="197"/>
      <c r="L425" s="197"/>
      <c r="M425" s="198"/>
      <c r="N425" s="198"/>
      <c r="P425" s="139" t="str">
        <f t="shared" si="38"/>
        <v/>
      </c>
      <c r="Q425" s="139" t="str">
        <f t="shared" si="39"/>
        <v/>
      </c>
      <c r="AA425" s="139" t="s">
        <v>1629</v>
      </c>
      <c r="AB425" s="139" t="s">
        <v>1630</v>
      </c>
    </row>
    <row r="426" spans="1:28">
      <c r="A426" s="149"/>
      <c r="B426" s="144" t="str">
        <f t="shared" si="35"/>
        <v/>
      </c>
      <c r="C426" s="149"/>
      <c r="D426" s="144" t="str">
        <f t="shared" si="36"/>
        <v/>
      </c>
      <c r="E426" s="183"/>
      <c r="F426" s="144" t="str">
        <f t="shared" si="37"/>
        <v/>
      </c>
      <c r="G426" s="182"/>
      <c r="H426" s="182"/>
      <c r="I426" s="182"/>
      <c r="J426" s="198"/>
      <c r="K426" s="197"/>
      <c r="L426" s="197"/>
      <c r="M426" s="198"/>
      <c r="N426" s="198"/>
      <c r="P426" s="139" t="str">
        <f t="shared" si="38"/>
        <v/>
      </c>
      <c r="Q426" s="139" t="str">
        <f t="shared" si="39"/>
        <v/>
      </c>
      <c r="AA426" s="139" t="s">
        <v>1631</v>
      </c>
      <c r="AB426" s="139" t="s">
        <v>1632</v>
      </c>
    </row>
    <row r="427" spans="1:28">
      <c r="A427" s="149"/>
      <c r="B427" s="144" t="str">
        <f t="shared" si="35"/>
        <v/>
      </c>
      <c r="C427" s="149"/>
      <c r="D427" s="144" t="str">
        <f t="shared" si="36"/>
        <v/>
      </c>
      <c r="E427" s="183"/>
      <c r="F427" s="144" t="str">
        <f t="shared" si="37"/>
        <v/>
      </c>
      <c r="G427" s="182"/>
      <c r="H427" s="182"/>
      <c r="I427" s="182"/>
      <c r="J427" s="198"/>
      <c r="K427" s="197"/>
      <c r="L427" s="197"/>
      <c r="M427" s="198"/>
      <c r="N427" s="198"/>
      <c r="P427" s="139" t="str">
        <f t="shared" si="38"/>
        <v/>
      </c>
      <c r="Q427" s="139" t="str">
        <f t="shared" si="39"/>
        <v/>
      </c>
      <c r="AA427" s="139" t="s">
        <v>1633</v>
      </c>
      <c r="AB427" s="139" t="s">
        <v>1634</v>
      </c>
    </row>
    <row r="428" spans="1:28">
      <c r="A428" s="149"/>
      <c r="B428" s="144" t="str">
        <f t="shared" si="35"/>
        <v/>
      </c>
      <c r="C428" s="149"/>
      <c r="D428" s="144" t="str">
        <f t="shared" si="36"/>
        <v/>
      </c>
      <c r="E428" s="183"/>
      <c r="F428" s="144" t="str">
        <f t="shared" si="37"/>
        <v/>
      </c>
      <c r="G428" s="182"/>
      <c r="H428" s="182"/>
      <c r="I428" s="182"/>
      <c r="J428" s="198"/>
      <c r="K428" s="197"/>
      <c r="L428" s="197"/>
      <c r="M428" s="198"/>
      <c r="N428" s="198"/>
      <c r="P428" s="139" t="str">
        <f t="shared" si="38"/>
        <v/>
      </c>
      <c r="Q428" s="139" t="str">
        <f t="shared" si="39"/>
        <v/>
      </c>
      <c r="AA428" s="139" t="s">
        <v>1635</v>
      </c>
      <c r="AB428" s="139" t="s">
        <v>1636</v>
      </c>
    </row>
    <row r="429" spans="1:28">
      <c r="A429" s="149"/>
      <c r="B429" s="144" t="str">
        <f t="shared" si="35"/>
        <v/>
      </c>
      <c r="C429" s="149"/>
      <c r="D429" s="144" t="str">
        <f t="shared" si="36"/>
        <v/>
      </c>
      <c r="E429" s="183"/>
      <c r="F429" s="144" t="str">
        <f t="shared" si="37"/>
        <v/>
      </c>
      <c r="G429" s="182"/>
      <c r="H429" s="182"/>
      <c r="I429" s="182"/>
      <c r="J429" s="198"/>
      <c r="K429" s="197"/>
      <c r="L429" s="197"/>
      <c r="M429" s="198"/>
      <c r="N429" s="198"/>
      <c r="P429" s="139" t="str">
        <f t="shared" si="38"/>
        <v/>
      </c>
      <c r="Q429" s="139" t="str">
        <f t="shared" si="39"/>
        <v/>
      </c>
      <c r="AA429" s="139" t="s">
        <v>1637</v>
      </c>
      <c r="AB429" s="139" t="s">
        <v>1638</v>
      </c>
    </row>
    <row r="430" spans="1:28">
      <c r="A430" s="149"/>
      <c r="B430" s="144" t="str">
        <f t="shared" si="35"/>
        <v/>
      </c>
      <c r="C430" s="149"/>
      <c r="D430" s="144" t="str">
        <f t="shared" si="36"/>
        <v/>
      </c>
      <c r="E430" s="183"/>
      <c r="F430" s="144" t="str">
        <f t="shared" si="37"/>
        <v/>
      </c>
      <c r="G430" s="182"/>
      <c r="H430" s="182"/>
      <c r="I430" s="182"/>
      <c r="J430" s="198"/>
      <c r="K430" s="197"/>
      <c r="L430" s="197"/>
      <c r="M430" s="198"/>
      <c r="N430" s="198"/>
      <c r="P430" s="139" t="str">
        <f t="shared" si="38"/>
        <v/>
      </c>
      <c r="Q430" s="139" t="str">
        <f t="shared" si="39"/>
        <v/>
      </c>
      <c r="AA430" s="139" t="s">
        <v>1639</v>
      </c>
      <c r="AB430" s="139" t="s">
        <v>1640</v>
      </c>
    </row>
    <row r="431" spans="1:28">
      <c r="A431" s="149"/>
      <c r="B431" s="144" t="str">
        <f t="shared" si="35"/>
        <v/>
      </c>
      <c r="C431" s="149"/>
      <c r="D431" s="144" t="str">
        <f t="shared" si="36"/>
        <v/>
      </c>
      <c r="E431" s="183"/>
      <c r="F431" s="144" t="str">
        <f t="shared" si="37"/>
        <v/>
      </c>
      <c r="G431" s="182"/>
      <c r="H431" s="182"/>
      <c r="I431" s="182"/>
      <c r="J431" s="198"/>
      <c r="K431" s="197"/>
      <c r="L431" s="197"/>
      <c r="M431" s="198"/>
      <c r="N431" s="198"/>
      <c r="P431" s="139" t="str">
        <f t="shared" si="38"/>
        <v/>
      </c>
      <c r="Q431" s="139" t="str">
        <f t="shared" si="39"/>
        <v/>
      </c>
      <c r="AA431" s="139" t="s">
        <v>1641</v>
      </c>
      <c r="AB431" s="139" t="s">
        <v>1642</v>
      </c>
    </row>
    <row r="432" spans="1:28">
      <c r="A432" s="149"/>
      <c r="B432" s="144" t="str">
        <f t="shared" si="35"/>
        <v/>
      </c>
      <c r="C432" s="149"/>
      <c r="D432" s="144" t="str">
        <f t="shared" si="36"/>
        <v/>
      </c>
      <c r="E432" s="183"/>
      <c r="F432" s="144" t="str">
        <f t="shared" si="37"/>
        <v/>
      </c>
      <c r="G432" s="182"/>
      <c r="H432" s="182"/>
      <c r="I432" s="182"/>
      <c r="J432" s="198"/>
      <c r="K432" s="197"/>
      <c r="L432" s="197"/>
      <c r="M432" s="198"/>
      <c r="N432" s="198"/>
      <c r="P432" s="139" t="str">
        <f t="shared" si="38"/>
        <v/>
      </c>
      <c r="Q432" s="139" t="str">
        <f t="shared" si="39"/>
        <v/>
      </c>
      <c r="AA432" s="139" t="s">
        <v>1643</v>
      </c>
      <c r="AB432" s="139" t="s">
        <v>1644</v>
      </c>
    </row>
    <row r="433" spans="1:28">
      <c r="A433" s="149"/>
      <c r="B433" s="144" t="str">
        <f t="shared" si="35"/>
        <v/>
      </c>
      <c r="C433" s="149"/>
      <c r="D433" s="144" t="str">
        <f t="shared" si="36"/>
        <v/>
      </c>
      <c r="E433" s="183"/>
      <c r="F433" s="144" t="str">
        <f t="shared" si="37"/>
        <v/>
      </c>
      <c r="G433" s="182"/>
      <c r="H433" s="182"/>
      <c r="I433" s="182"/>
      <c r="J433" s="198"/>
      <c r="K433" s="197"/>
      <c r="L433" s="197"/>
      <c r="M433" s="198"/>
      <c r="N433" s="198"/>
      <c r="P433" s="139" t="str">
        <f t="shared" si="38"/>
        <v/>
      </c>
      <c r="Q433" s="139" t="str">
        <f t="shared" si="39"/>
        <v/>
      </c>
      <c r="AA433" s="139" t="s">
        <v>1645</v>
      </c>
      <c r="AB433" s="139" t="s">
        <v>1646</v>
      </c>
    </row>
    <row r="434" spans="1:28">
      <c r="A434" s="149"/>
      <c r="B434" s="144" t="str">
        <f t="shared" si="35"/>
        <v/>
      </c>
      <c r="C434" s="149"/>
      <c r="D434" s="144" t="str">
        <f t="shared" si="36"/>
        <v/>
      </c>
      <c r="E434" s="183"/>
      <c r="F434" s="144" t="str">
        <f t="shared" si="37"/>
        <v/>
      </c>
      <c r="G434" s="182"/>
      <c r="H434" s="182"/>
      <c r="I434" s="182"/>
      <c r="J434" s="198"/>
      <c r="K434" s="197"/>
      <c r="L434" s="197"/>
      <c r="M434" s="198"/>
      <c r="N434" s="198"/>
      <c r="P434" s="139" t="str">
        <f t="shared" si="38"/>
        <v/>
      </c>
      <c r="Q434" s="139" t="str">
        <f t="shared" si="39"/>
        <v/>
      </c>
      <c r="AA434" s="139" t="s">
        <v>1647</v>
      </c>
      <c r="AB434" s="139" t="s">
        <v>1648</v>
      </c>
    </row>
    <row r="435" spans="1:28">
      <c r="A435" s="149"/>
      <c r="B435" s="144" t="str">
        <f t="shared" si="35"/>
        <v/>
      </c>
      <c r="C435" s="149"/>
      <c r="D435" s="144" t="str">
        <f t="shared" si="36"/>
        <v/>
      </c>
      <c r="E435" s="183"/>
      <c r="F435" s="144" t="str">
        <f t="shared" si="37"/>
        <v/>
      </c>
      <c r="G435" s="182"/>
      <c r="H435" s="182"/>
      <c r="I435" s="182"/>
      <c r="J435" s="198"/>
      <c r="K435" s="197"/>
      <c r="L435" s="197"/>
      <c r="M435" s="198"/>
      <c r="N435" s="198"/>
      <c r="P435" s="139" t="str">
        <f t="shared" si="38"/>
        <v/>
      </c>
      <c r="Q435" s="139" t="str">
        <f t="shared" si="39"/>
        <v/>
      </c>
      <c r="AA435" s="139" t="s">
        <v>1649</v>
      </c>
      <c r="AB435" s="139" t="s">
        <v>1650</v>
      </c>
    </row>
    <row r="436" spans="1:28">
      <c r="A436" s="149"/>
      <c r="B436" s="144" t="str">
        <f t="shared" si="35"/>
        <v/>
      </c>
      <c r="C436" s="149"/>
      <c r="D436" s="144" t="str">
        <f t="shared" si="36"/>
        <v/>
      </c>
      <c r="E436" s="183"/>
      <c r="F436" s="144" t="str">
        <f t="shared" si="37"/>
        <v/>
      </c>
      <c r="G436" s="182"/>
      <c r="H436" s="182"/>
      <c r="I436" s="182"/>
      <c r="J436" s="198"/>
      <c r="K436" s="197"/>
      <c r="L436" s="197"/>
      <c r="M436" s="198"/>
      <c r="N436" s="198"/>
      <c r="P436" s="139" t="str">
        <f t="shared" si="38"/>
        <v/>
      </c>
      <c r="Q436" s="139" t="str">
        <f t="shared" si="39"/>
        <v/>
      </c>
      <c r="AA436" s="139" t="s">
        <v>1651</v>
      </c>
      <c r="AB436" s="139" t="s">
        <v>1652</v>
      </c>
    </row>
    <row r="437" spans="1:28">
      <c r="A437" s="149"/>
      <c r="B437" s="144" t="str">
        <f t="shared" si="35"/>
        <v/>
      </c>
      <c r="C437" s="149"/>
      <c r="D437" s="144" t="str">
        <f t="shared" si="36"/>
        <v/>
      </c>
      <c r="E437" s="183"/>
      <c r="F437" s="144" t="str">
        <f t="shared" si="37"/>
        <v/>
      </c>
      <c r="G437" s="182"/>
      <c r="H437" s="182"/>
      <c r="I437" s="182"/>
      <c r="J437" s="198"/>
      <c r="K437" s="197"/>
      <c r="L437" s="197"/>
      <c r="M437" s="198"/>
      <c r="N437" s="198"/>
      <c r="P437" s="139" t="str">
        <f t="shared" si="38"/>
        <v/>
      </c>
      <c r="Q437" s="139" t="str">
        <f t="shared" si="39"/>
        <v/>
      </c>
      <c r="AA437" s="139" t="s">
        <v>1653</v>
      </c>
      <c r="AB437" s="139" t="s">
        <v>1654</v>
      </c>
    </row>
    <row r="438" spans="1:28">
      <c r="A438" s="149"/>
      <c r="B438" s="144" t="str">
        <f t="shared" si="35"/>
        <v/>
      </c>
      <c r="C438" s="149"/>
      <c r="D438" s="144" t="str">
        <f t="shared" si="36"/>
        <v/>
      </c>
      <c r="E438" s="183"/>
      <c r="F438" s="144" t="str">
        <f t="shared" si="37"/>
        <v/>
      </c>
      <c r="G438" s="182"/>
      <c r="H438" s="182"/>
      <c r="I438" s="182"/>
      <c r="J438" s="198"/>
      <c r="K438" s="197"/>
      <c r="L438" s="197"/>
      <c r="M438" s="198"/>
      <c r="N438" s="198"/>
      <c r="P438" s="139" t="str">
        <f t="shared" si="38"/>
        <v/>
      </c>
      <c r="Q438" s="139" t="str">
        <f t="shared" si="39"/>
        <v/>
      </c>
      <c r="AA438" s="139" t="s">
        <v>1655</v>
      </c>
      <c r="AB438" s="139" t="s">
        <v>1656</v>
      </c>
    </row>
    <row r="439" spans="1:28">
      <c r="A439" s="149"/>
      <c r="B439" s="144" t="str">
        <f t="shared" si="35"/>
        <v/>
      </c>
      <c r="C439" s="149"/>
      <c r="D439" s="144" t="str">
        <f t="shared" si="36"/>
        <v/>
      </c>
      <c r="E439" s="183"/>
      <c r="F439" s="144" t="str">
        <f t="shared" si="37"/>
        <v/>
      </c>
      <c r="G439" s="182"/>
      <c r="H439" s="182"/>
      <c r="I439" s="182"/>
      <c r="J439" s="198"/>
      <c r="K439" s="197"/>
      <c r="L439" s="197"/>
      <c r="M439" s="198"/>
      <c r="N439" s="198"/>
      <c r="P439" s="139" t="str">
        <f t="shared" si="38"/>
        <v/>
      </c>
      <c r="Q439" s="139" t="str">
        <f t="shared" si="39"/>
        <v/>
      </c>
      <c r="AA439" s="139" t="s">
        <v>1657</v>
      </c>
      <c r="AB439" s="139" t="s">
        <v>1658</v>
      </c>
    </row>
    <row r="440" spans="1:28">
      <c r="A440" s="149"/>
      <c r="B440" s="144" t="str">
        <f t="shared" si="35"/>
        <v/>
      </c>
      <c r="C440" s="149"/>
      <c r="D440" s="144" t="str">
        <f t="shared" si="36"/>
        <v/>
      </c>
      <c r="E440" s="183"/>
      <c r="F440" s="144" t="str">
        <f t="shared" si="37"/>
        <v/>
      </c>
      <c r="G440" s="182"/>
      <c r="H440" s="182"/>
      <c r="I440" s="182"/>
      <c r="J440" s="198"/>
      <c r="K440" s="197"/>
      <c r="L440" s="197"/>
      <c r="M440" s="198"/>
      <c r="N440" s="198"/>
      <c r="P440" s="139" t="str">
        <f t="shared" si="38"/>
        <v/>
      </c>
      <c r="Q440" s="139" t="str">
        <f t="shared" si="39"/>
        <v/>
      </c>
      <c r="AA440" s="139" t="s">
        <v>1659</v>
      </c>
      <c r="AB440" s="139" t="s">
        <v>1660</v>
      </c>
    </row>
    <row r="441" spans="1:28">
      <c r="A441" s="149"/>
      <c r="B441" s="144" t="str">
        <f t="shared" si="35"/>
        <v/>
      </c>
      <c r="C441" s="149"/>
      <c r="D441" s="144" t="str">
        <f t="shared" si="36"/>
        <v/>
      </c>
      <c r="E441" s="183"/>
      <c r="F441" s="144" t="str">
        <f t="shared" si="37"/>
        <v/>
      </c>
      <c r="G441" s="182"/>
      <c r="H441" s="182"/>
      <c r="I441" s="182"/>
      <c r="J441" s="198"/>
      <c r="K441" s="197"/>
      <c r="L441" s="197"/>
      <c r="M441" s="198"/>
      <c r="N441" s="198"/>
      <c r="P441" s="139" t="str">
        <f t="shared" si="38"/>
        <v/>
      </c>
      <c r="Q441" s="139" t="str">
        <f t="shared" si="39"/>
        <v/>
      </c>
      <c r="AA441" s="139" t="s">
        <v>1661</v>
      </c>
      <c r="AB441" s="139" t="s">
        <v>1662</v>
      </c>
    </row>
    <row r="442" spans="1:28">
      <c r="A442" s="149"/>
      <c r="B442" s="144" t="str">
        <f t="shared" si="35"/>
        <v/>
      </c>
      <c r="C442" s="149"/>
      <c r="D442" s="144" t="str">
        <f t="shared" si="36"/>
        <v/>
      </c>
      <c r="E442" s="183"/>
      <c r="F442" s="144" t="str">
        <f t="shared" si="37"/>
        <v/>
      </c>
      <c r="G442" s="182"/>
      <c r="H442" s="182"/>
      <c r="I442" s="182"/>
      <c r="J442" s="198"/>
      <c r="K442" s="197"/>
      <c r="L442" s="197"/>
      <c r="M442" s="198"/>
      <c r="N442" s="198"/>
      <c r="P442" s="139" t="str">
        <f t="shared" si="38"/>
        <v/>
      </c>
      <c r="Q442" s="139" t="str">
        <f t="shared" si="39"/>
        <v/>
      </c>
      <c r="AA442" s="139" t="s">
        <v>1663</v>
      </c>
      <c r="AB442" s="139" t="s">
        <v>1664</v>
      </c>
    </row>
    <row r="443" spans="1:28">
      <c r="A443" s="149"/>
      <c r="B443" s="144" t="str">
        <f t="shared" si="35"/>
        <v/>
      </c>
      <c r="C443" s="149"/>
      <c r="D443" s="144" t="str">
        <f t="shared" si="36"/>
        <v/>
      </c>
      <c r="E443" s="183"/>
      <c r="F443" s="144" t="str">
        <f t="shared" si="37"/>
        <v/>
      </c>
      <c r="G443" s="182"/>
      <c r="H443" s="182"/>
      <c r="I443" s="182"/>
      <c r="J443" s="198"/>
      <c r="K443" s="197"/>
      <c r="L443" s="197"/>
      <c r="M443" s="198"/>
      <c r="N443" s="198"/>
      <c r="P443" s="139" t="str">
        <f t="shared" si="38"/>
        <v/>
      </c>
      <c r="Q443" s="139" t="str">
        <f t="shared" si="39"/>
        <v/>
      </c>
      <c r="AA443" s="139" t="s">
        <v>1665</v>
      </c>
      <c r="AB443" s="139" t="s">
        <v>1666</v>
      </c>
    </row>
    <row r="444" spans="1:28">
      <c r="A444" s="149"/>
      <c r="B444" s="144" t="str">
        <f t="shared" si="35"/>
        <v/>
      </c>
      <c r="C444" s="149"/>
      <c r="D444" s="144" t="str">
        <f t="shared" si="36"/>
        <v/>
      </c>
      <c r="E444" s="183"/>
      <c r="F444" s="144" t="str">
        <f t="shared" si="37"/>
        <v/>
      </c>
      <c r="G444" s="182"/>
      <c r="H444" s="182"/>
      <c r="I444" s="182"/>
      <c r="J444" s="198"/>
      <c r="K444" s="197"/>
      <c r="L444" s="197"/>
      <c r="M444" s="198"/>
      <c r="N444" s="198"/>
      <c r="P444" s="139" t="str">
        <f t="shared" si="38"/>
        <v/>
      </c>
      <c r="Q444" s="139" t="str">
        <f t="shared" si="39"/>
        <v/>
      </c>
      <c r="AA444" s="139" t="s">
        <v>1667</v>
      </c>
      <c r="AB444" s="139" t="s">
        <v>1668</v>
      </c>
    </row>
    <row r="445" spans="1:28">
      <c r="A445" s="149"/>
      <c r="B445" s="144" t="str">
        <f t="shared" si="35"/>
        <v/>
      </c>
      <c r="C445" s="149"/>
      <c r="D445" s="144" t="str">
        <f t="shared" si="36"/>
        <v/>
      </c>
      <c r="E445" s="183"/>
      <c r="F445" s="144" t="str">
        <f t="shared" si="37"/>
        <v/>
      </c>
      <c r="G445" s="182"/>
      <c r="H445" s="182"/>
      <c r="I445" s="182"/>
      <c r="J445" s="198"/>
      <c r="K445" s="197"/>
      <c r="L445" s="197"/>
      <c r="M445" s="198"/>
      <c r="N445" s="198"/>
      <c r="P445" s="139" t="str">
        <f t="shared" si="38"/>
        <v/>
      </c>
      <c r="Q445" s="139" t="str">
        <f t="shared" si="39"/>
        <v/>
      </c>
      <c r="AA445" s="139" t="s">
        <v>1669</v>
      </c>
      <c r="AB445" s="139" t="s">
        <v>1670</v>
      </c>
    </row>
    <row r="446" spans="1:28">
      <c r="A446" s="149"/>
      <c r="B446" s="144" t="str">
        <f t="shared" si="35"/>
        <v/>
      </c>
      <c r="C446" s="149"/>
      <c r="D446" s="144" t="str">
        <f t="shared" si="36"/>
        <v/>
      </c>
      <c r="E446" s="183"/>
      <c r="F446" s="144" t="str">
        <f t="shared" si="37"/>
        <v/>
      </c>
      <c r="G446" s="182"/>
      <c r="H446" s="182"/>
      <c r="I446" s="182"/>
      <c r="J446" s="198"/>
      <c r="K446" s="197"/>
      <c r="L446" s="197"/>
      <c r="M446" s="198"/>
      <c r="N446" s="198"/>
      <c r="P446" s="139" t="str">
        <f t="shared" si="38"/>
        <v/>
      </c>
      <c r="Q446" s="139" t="str">
        <f t="shared" si="39"/>
        <v/>
      </c>
      <c r="AA446" s="139" t="s">
        <v>1671</v>
      </c>
      <c r="AB446" s="139" t="s">
        <v>1672</v>
      </c>
    </row>
    <row r="447" spans="1:28">
      <c r="A447" s="149"/>
      <c r="B447" s="144" t="str">
        <f t="shared" si="35"/>
        <v/>
      </c>
      <c r="C447" s="149"/>
      <c r="D447" s="144" t="str">
        <f t="shared" si="36"/>
        <v/>
      </c>
      <c r="E447" s="183"/>
      <c r="F447" s="144" t="str">
        <f t="shared" si="37"/>
        <v/>
      </c>
      <c r="G447" s="182"/>
      <c r="H447" s="182"/>
      <c r="I447" s="182"/>
      <c r="J447" s="198"/>
      <c r="K447" s="197"/>
      <c r="L447" s="197"/>
      <c r="M447" s="198"/>
      <c r="N447" s="198"/>
      <c r="P447" s="139" t="str">
        <f t="shared" si="38"/>
        <v/>
      </c>
      <c r="Q447" s="139" t="str">
        <f t="shared" si="39"/>
        <v/>
      </c>
      <c r="AA447" s="139" t="s">
        <v>1673</v>
      </c>
      <c r="AB447" s="139" t="s">
        <v>1674</v>
      </c>
    </row>
    <row r="448" spans="1:28">
      <c r="A448" s="149"/>
      <c r="B448" s="144" t="str">
        <f t="shared" si="35"/>
        <v/>
      </c>
      <c r="C448" s="149"/>
      <c r="D448" s="144" t="str">
        <f t="shared" si="36"/>
        <v/>
      </c>
      <c r="E448" s="183"/>
      <c r="F448" s="144" t="str">
        <f t="shared" si="37"/>
        <v/>
      </c>
      <c r="G448" s="182"/>
      <c r="H448" s="182"/>
      <c r="I448" s="182"/>
      <c r="J448" s="198"/>
      <c r="K448" s="197"/>
      <c r="L448" s="197"/>
      <c r="M448" s="198"/>
      <c r="N448" s="198"/>
      <c r="P448" s="139" t="str">
        <f t="shared" si="38"/>
        <v/>
      </c>
      <c r="Q448" s="139" t="str">
        <f t="shared" si="39"/>
        <v/>
      </c>
      <c r="AA448" s="139" t="s">
        <v>1675</v>
      </c>
      <c r="AB448" s="139" t="s">
        <v>1676</v>
      </c>
    </row>
    <row r="449" spans="1:28">
      <c r="A449" s="149"/>
      <c r="B449" s="144" t="str">
        <f t="shared" si="35"/>
        <v/>
      </c>
      <c r="C449" s="149"/>
      <c r="D449" s="144" t="str">
        <f t="shared" si="36"/>
        <v/>
      </c>
      <c r="E449" s="183"/>
      <c r="F449" s="144" t="str">
        <f t="shared" si="37"/>
        <v/>
      </c>
      <c r="G449" s="182"/>
      <c r="H449" s="182"/>
      <c r="I449" s="182"/>
      <c r="J449" s="198"/>
      <c r="K449" s="197"/>
      <c r="L449" s="197"/>
      <c r="M449" s="198"/>
      <c r="N449" s="198"/>
      <c r="P449" s="139" t="str">
        <f t="shared" si="38"/>
        <v/>
      </c>
      <c r="Q449" s="139" t="str">
        <f t="shared" si="39"/>
        <v/>
      </c>
      <c r="AA449" s="139" t="s">
        <v>1677</v>
      </c>
      <c r="AB449" s="139" t="s">
        <v>1678</v>
      </c>
    </row>
    <row r="450" spans="1:28">
      <c r="A450" s="149"/>
      <c r="B450" s="144" t="str">
        <f t="shared" si="35"/>
        <v/>
      </c>
      <c r="C450" s="149"/>
      <c r="D450" s="144" t="str">
        <f t="shared" si="36"/>
        <v/>
      </c>
      <c r="E450" s="183"/>
      <c r="F450" s="144" t="str">
        <f t="shared" si="37"/>
        <v/>
      </c>
      <c r="G450" s="182"/>
      <c r="H450" s="182"/>
      <c r="I450" s="182"/>
      <c r="J450" s="198"/>
      <c r="K450" s="197"/>
      <c r="L450" s="197"/>
      <c r="M450" s="198"/>
      <c r="N450" s="198"/>
      <c r="P450" s="139" t="str">
        <f t="shared" si="38"/>
        <v/>
      </c>
      <c r="Q450" s="139" t="str">
        <f t="shared" si="39"/>
        <v/>
      </c>
      <c r="AA450" s="139" t="s">
        <v>1679</v>
      </c>
      <c r="AB450" s="139" t="s">
        <v>1680</v>
      </c>
    </row>
    <row r="451" spans="1:28">
      <c r="A451" s="149"/>
      <c r="B451" s="144" t="str">
        <f t="shared" si="35"/>
        <v/>
      </c>
      <c r="C451" s="149"/>
      <c r="D451" s="144" t="str">
        <f t="shared" si="36"/>
        <v/>
      </c>
      <c r="E451" s="183"/>
      <c r="F451" s="144" t="str">
        <f t="shared" si="37"/>
        <v/>
      </c>
      <c r="G451" s="182"/>
      <c r="H451" s="182"/>
      <c r="I451" s="182"/>
      <c r="J451" s="198"/>
      <c r="K451" s="197"/>
      <c r="L451" s="197"/>
      <c r="M451" s="198"/>
      <c r="N451" s="198"/>
      <c r="P451" s="139" t="str">
        <f t="shared" si="38"/>
        <v/>
      </c>
      <c r="Q451" s="139" t="str">
        <f t="shared" si="39"/>
        <v/>
      </c>
      <c r="AA451" s="139" t="s">
        <v>1681</v>
      </c>
      <c r="AB451" s="139" t="s">
        <v>1682</v>
      </c>
    </row>
    <row r="452" spans="1:28">
      <c r="A452" s="149"/>
      <c r="B452" s="144" t="str">
        <f t="shared" ref="B452:B501" si="40">IFERROR(VLOOKUP(A452,$R$6:$S$23,2,FALSE),"")</f>
        <v/>
      </c>
      <c r="C452" s="149"/>
      <c r="D452" s="144" t="str">
        <f t="shared" ref="D452:D501" si="41">IFERROR(VLOOKUP(C452,$U$5:$W$129,2,FALSE),"")</f>
        <v/>
      </c>
      <c r="E452" s="183"/>
      <c r="F452" s="144" t="str">
        <f t="shared" ref="F452:F501" si="42">IFERROR(VLOOKUP(E452,$AA$6:$AB$1018,2,FALSE),"")</f>
        <v/>
      </c>
      <c r="G452" s="182"/>
      <c r="H452" s="182"/>
      <c r="I452" s="182"/>
      <c r="J452" s="198"/>
      <c r="K452" s="197"/>
      <c r="L452" s="197"/>
      <c r="M452" s="198"/>
      <c r="N452" s="198"/>
      <c r="P452" s="139" t="str">
        <f t="shared" ref="P452:P501" si="43">LEFT(C452,3)</f>
        <v/>
      </c>
      <c r="Q452" s="139" t="str">
        <f t="shared" ref="Q452:Q501" si="44">LEFT(C452,2)</f>
        <v/>
      </c>
      <c r="AA452" s="139" t="s">
        <v>1683</v>
      </c>
      <c r="AB452" s="139" t="s">
        <v>1684</v>
      </c>
    </row>
    <row r="453" spans="1:28">
      <c r="A453" s="149"/>
      <c r="B453" s="144" t="str">
        <f t="shared" si="40"/>
        <v/>
      </c>
      <c r="C453" s="149"/>
      <c r="D453" s="144" t="str">
        <f t="shared" si="41"/>
        <v/>
      </c>
      <c r="E453" s="183"/>
      <c r="F453" s="144" t="str">
        <f t="shared" si="42"/>
        <v/>
      </c>
      <c r="G453" s="182"/>
      <c r="H453" s="182"/>
      <c r="I453" s="182"/>
      <c r="J453" s="198"/>
      <c r="K453" s="197"/>
      <c r="L453" s="197"/>
      <c r="M453" s="198"/>
      <c r="N453" s="198"/>
      <c r="P453" s="139" t="str">
        <f t="shared" si="43"/>
        <v/>
      </c>
      <c r="Q453" s="139" t="str">
        <f t="shared" si="44"/>
        <v/>
      </c>
      <c r="AA453" s="139" t="s">
        <v>1685</v>
      </c>
      <c r="AB453" s="139" t="s">
        <v>1686</v>
      </c>
    </row>
    <row r="454" spans="1:28">
      <c r="A454" s="149"/>
      <c r="B454" s="144" t="str">
        <f t="shared" si="40"/>
        <v/>
      </c>
      <c r="C454" s="149"/>
      <c r="D454" s="144" t="str">
        <f t="shared" si="41"/>
        <v/>
      </c>
      <c r="E454" s="183"/>
      <c r="F454" s="144" t="str">
        <f t="shared" si="42"/>
        <v/>
      </c>
      <c r="G454" s="182"/>
      <c r="H454" s="182"/>
      <c r="I454" s="182"/>
      <c r="J454" s="198"/>
      <c r="K454" s="197"/>
      <c r="L454" s="197"/>
      <c r="M454" s="198"/>
      <c r="N454" s="198"/>
      <c r="P454" s="139" t="str">
        <f t="shared" si="43"/>
        <v/>
      </c>
      <c r="Q454" s="139" t="str">
        <f t="shared" si="44"/>
        <v/>
      </c>
      <c r="AA454" s="139" t="s">
        <v>1687</v>
      </c>
      <c r="AB454" s="139" t="s">
        <v>1688</v>
      </c>
    </row>
    <row r="455" spans="1:28">
      <c r="A455" s="149"/>
      <c r="B455" s="144" t="str">
        <f t="shared" si="40"/>
        <v/>
      </c>
      <c r="C455" s="149"/>
      <c r="D455" s="144" t="str">
        <f t="shared" si="41"/>
        <v/>
      </c>
      <c r="E455" s="183"/>
      <c r="F455" s="144" t="str">
        <f t="shared" si="42"/>
        <v/>
      </c>
      <c r="G455" s="182"/>
      <c r="H455" s="182"/>
      <c r="I455" s="182"/>
      <c r="J455" s="198"/>
      <c r="K455" s="197"/>
      <c r="L455" s="197"/>
      <c r="M455" s="198"/>
      <c r="N455" s="198"/>
      <c r="P455" s="139" t="str">
        <f t="shared" si="43"/>
        <v/>
      </c>
      <c r="Q455" s="139" t="str">
        <f t="shared" si="44"/>
        <v/>
      </c>
      <c r="AA455" s="139" t="s">
        <v>1689</v>
      </c>
      <c r="AB455" s="139" t="s">
        <v>1690</v>
      </c>
    </row>
    <row r="456" spans="1:28">
      <c r="A456" s="149"/>
      <c r="B456" s="144" t="str">
        <f t="shared" si="40"/>
        <v/>
      </c>
      <c r="C456" s="149"/>
      <c r="D456" s="144" t="str">
        <f t="shared" si="41"/>
        <v/>
      </c>
      <c r="E456" s="183"/>
      <c r="F456" s="144" t="str">
        <f t="shared" si="42"/>
        <v/>
      </c>
      <c r="G456" s="182"/>
      <c r="H456" s="182"/>
      <c r="I456" s="182"/>
      <c r="J456" s="198"/>
      <c r="K456" s="197"/>
      <c r="L456" s="197"/>
      <c r="M456" s="198"/>
      <c r="N456" s="198"/>
      <c r="P456" s="139" t="str">
        <f t="shared" si="43"/>
        <v/>
      </c>
      <c r="Q456" s="139" t="str">
        <f t="shared" si="44"/>
        <v/>
      </c>
      <c r="AA456" s="139" t="s">
        <v>1691</v>
      </c>
      <c r="AB456" s="139" t="s">
        <v>1692</v>
      </c>
    </row>
    <row r="457" spans="1:28">
      <c r="A457" s="149"/>
      <c r="B457" s="144" t="str">
        <f t="shared" si="40"/>
        <v/>
      </c>
      <c r="C457" s="149"/>
      <c r="D457" s="144" t="str">
        <f t="shared" si="41"/>
        <v/>
      </c>
      <c r="E457" s="183"/>
      <c r="F457" s="144" t="str">
        <f t="shared" si="42"/>
        <v/>
      </c>
      <c r="G457" s="182"/>
      <c r="H457" s="182"/>
      <c r="I457" s="182"/>
      <c r="J457" s="198"/>
      <c r="K457" s="197"/>
      <c r="L457" s="197"/>
      <c r="M457" s="198"/>
      <c r="N457" s="198"/>
      <c r="P457" s="139" t="str">
        <f t="shared" si="43"/>
        <v/>
      </c>
      <c r="Q457" s="139" t="str">
        <f t="shared" si="44"/>
        <v/>
      </c>
      <c r="AA457" s="139" t="s">
        <v>1693</v>
      </c>
      <c r="AB457" s="139" t="s">
        <v>1694</v>
      </c>
    </row>
    <row r="458" spans="1:28">
      <c r="A458" s="149"/>
      <c r="B458" s="144" t="str">
        <f t="shared" si="40"/>
        <v/>
      </c>
      <c r="C458" s="149"/>
      <c r="D458" s="144" t="str">
        <f t="shared" si="41"/>
        <v/>
      </c>
      <c r="E458" s="183"/>
      <c r="F458" s="144" t="str">
        <f t="shared" si="42"/>
        <v/>
      </c>
      <c r="G458" s="182"/>
      <c r="H458" s="182"/>
      <c r="I458" s="182"/>
      <c r="J458" s="198"/>
      <c r="K458" s="197"/>
      <c r="L458" s="197"/>
      <c r="M458" s="198"/>
      <c r="N458" s="198"/>
      <c r="P458" s="139" t="str">
        <f t="shared" si="43"/>
        <v/>
      </c>
      <c r="Q458" s="139" t="str">
        <f t="shared" si="44"/>
        <v/>
      </c>
      <c r="AA458" s="139" t="s">
        <v>1695</v>
      </c>
      <c r="AB458" s="139" t="s">
        <v>1696</v>
      </c>
    </row>
    <row r="459" spans="1:28">
      <c r="A459" s="149"/>
      <c r="B459" s="144" t="str">
        <f t="shared" si="40"/>
        <v/>
      </c>
      <c r="C459" s="149"/>
      <c r="D459" s="144" t="str">
        <f t="shared" si="41"/>
        <v/>
      </c>
      <c r="E459" s="183"/>
      <c r="F459" s="144" t="str">
        <f t="shared" si="42"/>
        <v/>
      </c>
      <c r="G459" s="182"/>
      <c r="H459" s="182"/>
      <c r="I459" s="182"/>
      <c r="J459" s="198"/>
      <c r="K459" s="197"/>
      <c r="L459" s="197"/>
      <c r="M459" s="198"/>
      <c r="N459" s="198"/>
      <c r="P459" s="139" t="str">
        <f t="shared" si="43"/>
        <v/>
      </c>
      <c r="Q459" s="139" t="str">
        <f t="shared" si="44"/>
        <v/>
      </c>
      <c r="AA459" s="139" t="s">
        <v>1697</v>
      </c>
      <c r="AB459" s="139" t="s">
        <v>1698</v>
      </c>
    </row>
    <row r="460" spans="1:28">
      <c r="A460" s="149"/>
      <c r="B460" s="144" t="str">
        <f t="shared" si="40"/>
        <v/>
      </c>
      <c r="C460" s="149"/>
      <c r="D460" s="144" t="str">
        <f t="shared" si="41"/>
        <v/>
      </c>
      <c r="E460" s="183"/>
      <c r="F460" s="144" t="str">
        <f t="shared" si="42"/>
        <v/>
      </c>
      <c r="G460" s="182"/>
      <c r="H460" s="182"/>
      <c r="I460" s="182"/>
      <c r="J460" s="198"/>
      <c r="K460" s="197"/>
      <c r="L460" s="197"/>
      <c r="M460" s="198"/>
      <c r="N460" s="198"/>
      <c r="P460" s="139" t="str">
        <f t="shared" si="43"/>
        <v/>
      </c>
      <c r="Q460" s="139" t="str">
        <f t="shared" si="44"/>
        <v/>
      </c>
      <c r="AA460" s="139" t="s">
        <v>1699</v>
      </c>
      <c r="AB460" s="139" t="s">
        <v>1700</v>
      </c>
    </row>
    <row r="461" spans="1:28">
      <c r="A461" s="149"/>
      <c r="B461" s="144" t="str">
        <f t="shared" si="40"/>
        <v/>
      </c>
      <c r="C461" s="149"/>
      <c r="D461" s="144" t="str">
        <f t="shared" si="41"/>
        <v/>
      </c>
      <c r="E461" s="183"/>
      <c r="F461" s="144" t="str">
        <f t="shared" si="42"/>
        <v/>
      </c>
      <c r="G461" s="182"/>
      <c r="H461" s="182"/>
      <c r="I461" s="182"/>
      <c r="J461" s="198"/>
      <c r="K461" s="197"/>
      <c r="L461" s="197"/>
      <c r="M461" s="198"/>
      <c r="N461" s="198"/>
      <c r="P461" s="139" t="str">
        <f t="shared" si="43"/>
        <v/>
      </c>
      <c r="Q461" s="139" t="str">
        <f t="shared" si="44"/>
        <v/>
      </c>
      <c r="AA461" s="139" t="s">
        <v>1701</v>
      </c>
      <c r="AB461" s="139" t="s">
        <v>1702</v>
      </c>
    </row>
    <row r="462" spans="1:28">
      <c r="A462" s="149"/>
      <c r="B462" s="144" t="str">
        <f t="shared" si="40"/>
        <v/>
      </c>
      <c r="C462" s="149"/>
      <c r="D462" s="144" t="str">
        <f t="shared" si="41"/>
        <v/>
      </c>
      <c r="E462" s="183"/>
      <c r="F462" s="144" t="str">
        <f t="shared" si="42"/>
        <v/>
      </c>
      <c r="G462" s="182"/>
      <c r="H462" s="182"/>
      <c r="I462" s="182"/>
      <c r="J462" s="198"/>
      <c r="K462" s="197"/>
      <c r="L462" s="197"/>
      <c r="M462" s="198"/>
      <c r="N462" s="198"/>
      <c r="P462" s="139" t="str">
        <f t="shared" si="43"/>
        <v/>
      </c>
      <c r="Q462" s="139" t="str">
        <f t="shared" si="44"/>
        <v/>
      </c>
      <c r="AA462" s="139" t="s">
        <v>1703</v>
      </c>
      <c r="AB462" s="139" t="s">
        <v>1704</v>
      </c>
    </row>
    <row r="463" spans="1:28">
      <c r="A463" s="149"/>
      <c r="B463" s="144" t="str">
        <f t="shared" si="40"/>
        <v/>
      </c>
      <c r="C463" s="149"/>
      <c r="D463" s="144" t="str">
        <f t="shared" si="41"/>
        <v/>
      </c>
      <c r="E463" s="183"/>
      <c r="F463" s="144" t="str">
        <f t="shared" si="42"/>
        <v/>
      </c>
      <c r="G463" s="182"/>
      <c r="H463" s="182"/>
      <c r="I463" s="182"/>
      <c r="J463" s="198"/>
      <c r="K463" s="197"/>
      <c r="L463" s="197"/>
      <c r="M463" s="198"/>
      <c r="N463" s="198"/>
      <c r="P463" s="139" t="str">
        <f t="shared" si="43"/>
        <v/>
      </c>
      <c r="Q463" s="139" t="str">
        <f t="shared" si="44"/>
        <v/>
      </c>
      <c r="AA463" s="139" t="s">
        <v>1705</v>
      </c>
      <c r="AB463" s="139" t="s">
        <v>1706</v>
      </c>
    </row>
    <row r="464" spans="1:28">
      <c r="A464" s="149"/>
      <c r="B464" s="144" t="str">
        <f t="shared" si="40"/>
        <v/>
      </c>
      <c r="C464" s="149"/>
      <c r="D464" s="144" t="str">
        <f t="shared" si="41"/>
        <v/>
      </c>
      <c r="E464" s="183"/>
      <c r="F464" s="144" t="str">
        <f t="shared" si="42"/>
        <v/>
      </c>
      <c r="G464" s="182"/>
      <c r="H464" s="182"/>
      <c r="I464" s="182"/>
      <c r="J464" s="198"/>
      <c r="K464" s="197"/>
      <c r="L464" s="197"/>
      <c r="M464" s="198"/>
      <c r="N464" s="198"/>
      <c r="P464" s="139" t="str">
        <f t="shared" si="43"/>
        <v/>
      </c>
      <c r="Q464" s="139" t="str">
        <f t="shared" si="44"/>
        <v/>
      </c>
      <c r="AA464" s="139" t="s">
        <v>1707</v>
      </c>
      <c r="AB464" s="139" t="s">
        <v>1708</v>
      </c>
    </row>
    <row r="465" spans="1:28">
      <c r="A465" s="149"/>
      <c r="B465" s="144" t="str">
        <f t="shared" si="40"/>
        <v/>
      </c>
      <c r="C465" s="149"/>
      <c r="D465" s="144" t="str">
        <f t="shared" si="41"/>
        <v/>
      </c>
      <c r="E465" s="183"/>
      <c r="F465" s="144" t="str">
        <f t="shared" si="42"/>
        <v/>
      </c>
      <c r="G465" s="182"/>
      <c r="H465" s="182"/>
      <c r="I465" s="182"/>
      <c r="J465" s="198"/>
      <c r="K465" s="197"/>
      <c r="L465" s="197"/>
      <c r="M465" s="198"/>
      <c r="N465" s="198"/>
      <c r="P465" s="139" t="str">
        <f t="shared" si="43"/>
        <v/>
      </c>
      <c r="Q465" s="139" t="str">
        <f t="shared" si="44"/>
        <v/>
      </c>
      <c r="AA465" s="139" t="s">
        <v>1709</v>
      </c>
      <c r="AB465" s="139" t="s">
        <v>1710</v>
      </c>
    </row>
    <row r="466" spans="1:28">
      <c r="A466" s="149"/>
      <c r="B466" s="144" t="str">
        <f t="shared" si="40"/>
        <v/>
      </c>
      <c r="C466" s="149"/>
      <c r="D466" s="144" t="str">
        <f t="shared" si="41"/>
        <v/>
      </c>
      <c r="E466" s="183"/>
      <c r="F466" s="144" t="str">
        <f t="shared" si="42"/>
        <v/>
      </c>
      <c r="G466" s="182"/>
      <c r="H466" s="182"/>
      <c r="I466" s="182"/>
      <c r="J466" s="198"/>
      <c r="K466" s="197"/>
      <c r="L466" s="197"/>
      <c r="M466" s="198"/>
      <c r="N466" s="198"/>
      <c r="P466" s="139" t="str">
        <f t="shared" si="43"/>
        <v/>
      </c>
      <c r="Q466" s="139" t="str">
        <f t="shared" si="44"/>
        <v/>
      </c>
      <c r="AA466" s="139" t="s">
        <v>1711</v>
      </c>
      <c r="AB466" s="139" t="s">
        <v>1712</v>
      </c>
    </row>
    <row r="467" spans="1:28">
      <c r="A467" s="149"/>
      <c r="B467" s="144" t="str">
        <f t="shared" si="40"/>
        <v/>
      </c>
      <c r="C467" s="149"/>
      <c r="D467" s="144" t="str">
        <f t="shared" si="41"/>
        <v/>
      </c>
      <c r="E467" s="183"/>
      <c r="F467" s="144" t="str">
        <f t="shared" si="42"/>
        <v/>
      </c>
      <c r="G467" s="182"/>
      <c r="H467" s="182"/>
      <c r="I467" s="182"/>
      <c r="J467" s="198"/>
      <c r="K467" s="197"/>
      <c r="L467" s="197"/>
      <c r="M467" s="198"/>
      <c r="N467" s="198"/>
      <c r="P467" s="139" t="str">
        <f t="shared" si="43"/>
        <v/>
      </c>
      <c r="Q467" s="139" t="str">
        <f t="shared" si="44"/>
        <v/>
      </c>
      <c r="AA467" s="139" t="s">
        <v>1713</v>
      </c>
      <c r="AB467" s="139" t="s">
        <v>1714</v>
      </c>
    </row>
    <row r="468" spans="1:28">
      <c r="A468" s="149"/>
      <c r="B468" s="144" t="str">
        <f t="shared" si="40"/>
        <v/>
      </c>
      <c r="C468" s="149"/>
      <c r="D468" s="144" t="str">
        <f t="shared" si="41"/>
        <v/>
      </c>
      <c r="E468" s="183"/>
      <c r="F468" s="144" t="str">
        <f t="shared" si="42"/>
        <v/>
      </c>
      <c r="G468" s="182"/>
      <c r="H468" s="182"/>
      <c r="I468" s="182"/>
      <c r="J468" s="198"/>
      <c r="K468" s="197"/>
      <c r="L468" s="197"/>
      <c r="M468" s="198"/>
      <c r="N468" s="198"/>
      <c r="P468" s="139" t="str">
        <f t="shared" si="43"/>
        <v/>
      </c>
      <c r="Q468" s="139" t="str">
        <f t="shared" si="44"/>
        <v/>
      </c>
      <c r="AA468" s="139" t="s">
        <v>1715</v>
      </c>
      <c r="AB468" s="139" t="s">
        <v>1716</v>
      </c>
    </row>
    <row r="469" spans="1:28">
      <c r="A469" s="149"/>
      <c r="B469" s="144" t="str">
        <f t="shared" si="40"/>
        <v/>
      </c>
      <c r="C469" s="149"/>
      <c r="D469" s="144" t="str">
        <f t="shared" si="41"/>
        <v/>
      </c>
      <c r="E469" s="183"/>
      <c r="F469" s="144" t="str">
        <f t="shared" si="42"/>
        <v/>
      </c>
      <c r="G469" s="182"/>
      <c r="H469" s="182"/>
      <c r="I469" s="182"/>
      <c r="J469" s="198"/>
      <c r="K469" s="197"/>
      <c r="L469" s="197"/>
      <c r="M469" s="198"/>
      <c r="N469" s="198"/>
      <c r="P469" s="139" t="str">
        <f t="shared" si="43"/>
        <v/>
      </c>
      <c r="Q469" s="139" t="str">
        <f t="shared" si="44"/>
        <v/>
      </c>
      <c r="AA469" s="139" t="s">
        <v>1717</v>
      </c>
      <c r="AB469" s="139" t="s">
        <v>1718</v>
      </c>
    </row>
    <row r="470" spans="1:28">
      <c r="A470" s="149"/>
      <c r="B470" s="144" t="str">
        <f t="shared" si="40"/>
        <v/>
      </c>
      <c r="C470" s="149"/>
      <c r="D470" s="144" t="str">
        <f t="shared" si="41"/>
        <v/>
      </c>
      <c r="E470" s="183"/>
      <c r="F470" s="144" t="str">
        <f t="shared" si="42"/>
        <v/>
      </c>
      <c r="G470" s="182"/>
      <c r="H470" s="182"/>
      <c r="I470" s="182"/>
      <c r="J470" s="198"/>
      <c r="K470" s="197"/>
      <c r="L470" s="197"/>
      <c r="M470" s="198"/>
      <c r="N470" s="198"/>
      <c r="P470" s="139" t="str">
        <f t="shared" si="43"/>
        <v/>
      </c>
      <c r="Q470" s="139" t="str">
        <f t="shared" si="44"/>
        <v/>
      </c>
      <c r="AA470" s="139" t="s">
        <v>1719</v>
      </c>
      <c r="AB470" s="139" t="s">
        <v>1720</v>
      </c>
    </row>
    <row r="471" spans="1:28">
      <c r="A471" s="149"/>
      <c r="B471" s="144" t="str">
        <f t="shared" si="40"/>
        <v/>
      </c>
      <c r="C471" s="149"/>
      <c r="D471" s="144" t="str">
        <f t="shared" si="41"/>
        <v/>
      </c>
      <c r="E471" s="183"/>
      <c r="F471" s="144" t="str">
        <f t="shared" si="42"/>
        <v/>
      </c>
      <c r="G471" s="182"/>
      <c r="H471" s="182"/>
      <c r="I471" s="182"/>
      <c r="J471" s="198"/>
      <c r="K471" s="197"/>
      <c r="L471" s="197"/>
      <c r="M471" s="198"/>
      <c r="N471" s="198"/>
      <c r="P471" s="139" t="str">
        <f t="shared" si="43"/>
        <v/>
      </c>
      <c r="Q471" s="139" t="str">
        <f t="shared" si="44"/>
        <v/>
      </c>
      <c r="AA471" s="139" t="s">
        <v>1721</v>
      </c>
      <c r="AB471" s="139" t="s">
        <v>1722</v>
      </c>
    </row>
    <row r="472" spans="1:28">
      <c r="A472" s="149"/>
      <c r="B472" s="144" t="str">
        <f t="shared" si="40"/>
        <v/>
      </c>
      <c r="C472" s="149"/>
      <c r="D472" s="144" t="str">
        <f t="shared" si="41"/>
        <v/>
      </c>
      <c r="E472" s="183"/>
      <c r="F472" s="144" t="str">
        <f t="shared" si="42"/>
        <v/>
      </c>
      <c r="G472" s="182"/>
      <c r="H472" s="182"/>
      <c r="I472" s="182"/>
      <c r="J472" s="198"/>
      <c r="K472" s="197"/>
      <c r="L472" s="197"/>
      <c r="M472" s="198"/>
      <c r="N472" s="198"/>
      <c r="P472" s="139" t="str">
        <f t="shared" si="43"/>
        <v/>
      </c>
      <c r="Q472" s="139" t="str">
        <f t="shared" si="44"/>
        <v/>
      </c>
      <c r="AA472" s="139" t="s">
        <v>1723</v>
      </c>
      <c r="AB472" s="139" t="s">
        <v>1724</v>
      </c>
    </row>
    <row r="473" spans="1:28">
      <c r="A473" s="149"/>
      <c r="B473" s="144" t="str">
        <f t="shared" si="40"/>
        <v/>
      </c>
      <c r="C473" s="149"/>
      <c r="D473" s="144" t="str">
        <f t="shared" si="41"/>
        <v/>
      </c>
      <c r="E473" s="183"/>
      <c r="F473" s="144" t="str">
        <f t="shared" si="42"/>
        <v/>
      </c>
      <c r="G473" s="182"/>
      <c r="H473" s="182"/>
      <c r="I473" s="182"/>
      <c r="J473" s="198"/>
      <c r="K473" s="197"/>
      <c r="L473" s="197"/>
      <c r="M473" s="198"/>
      <c r="N473" s="198"/>
      <c r="P473" s="139" t="str">
        <f t="shared" si="43"/>
        <v/>
      </c>
      <c r="Q473" s="139" t="str">
        <f t="shared" si="44"/>
        <v/>
      </c>
      <c r="AA473" s="139" t="s">
        <v>1725</v>
      </c>
      <c r="AB473" s="139" t="s">
        <v>1726</v>
      </c>
    </row>
    <row r="474" spans="1:28">
      <c r="A474" s="149"/>
      <c r="B474" s="144" t="str">
        <f t="shared" si="40"/>
        <v/>
      </c>
      <c r="C474" s="149"/>
      <c r="D474" s="144" t="str">
        <f t="shared" si="41"/>
        <v/>
      </c>
      <c r="E474" s="183"/>
      <c r="F474" s="144" t="str">
        <f t="shared" si="42"/>
        <v/>
      </c>
      <c r="G474" s="182"/>
      <c r="H474" s="182"/>
      <c r="I474" s="182"/>
      <c r="J474" s="198"/>
      <c r="K474" s="197"/>
      <c r="L474" s="197"/>
      <c r="M474" s="198"/>
      <c r="N474" s="198"/>
      <c r="P474" s="139" t="str">
        <f t="shared" si="43"/>
        <v/>
      </c>
      <c r="Q474" s="139" t="str">
        <f t="shared" si="44"/>
        <v/>
      </c>
      <c r="AA474" s="139" t="s">
        <v>1727</v>
      </c>
      <c r="AB474" s="139" t="s">
        <v>1728</v>
      </c>
    </row>
    <row r="475" spans="1:28">
      <c r="A475" s="149"/>
      <c r="B475" s="144" t="str">
        <f t="shared" si="40"/>
        <v/>
      </c>
      <c r="C475" s="149"/>
      <c r="D475" s="144" t="str">
        <f t="shared" si="41"/>
        <v/>
      </c>
      <c r="E475" s="183"/>
      <c r="F475" s="144" t="str">
        <f t="shared" si="42"/>
        <v/>
      </c>
      <c r="G475" s="182"/>
      <c r="H475" s="182"/>
      <c r="I475" s="182"/>
      <c r="J475" s="198"/>
      <c r="K475" s="197"/>
      <c r="L475" s="197"/>
      <c r="M475" s="198"/>
      <c r="N475" s="198"/>
      <c r="P475" s="139" t="str">
        <f t="shared" si="43"/>
        <v/>
      </c>
      <c r="Q475" s="139" t="str">
        <f t="shared" si="44"/>
        <v/>
      </c>
      <c r="AA475" s="139" t="s">
        <v>1729</v>
      </c>
      <c r="AB475" s="139" t="s">
        <v>1730</v>
      </c>
    </row>
    <row r="476" spans="1:28">
      <c r="A476" s="149"/>
      <c r="B476" s="144" t="str">
        <f t="shared" si="40"/>
        <v/>
      </c>
      <c r="C476" s="149"/>
      <c r="D476" s="144" t="str">
        <f t="shared" si="41"/>
        <v/>
      </c>
      <c r="E476" s="183"/>
      <c r="F476" s="144" t="str">
        <f t="shared" si="42"/>
        <v/>
      </c>
      <c r="G476" s="182"/>
      <c r="H476" s="182"/>
      <c r="I476" s="182"/>
      <c r="J476" s="198"/>
      <c r="K476" s="197"/>
      <c r="L476" s="197"/>
      <c r="M476" s="198"/>
      <c r="N476" s="198"/>
      <c r="P476" s="139" t="str">
        <f t="shared" si="43"/>
        <v/>
      </c>
      <c r="Q476" s="139" t="str">
        <f t="shared" si="44"/>
        <v/>
      </c>
      <c r="AA476" s="139" t="s">
        <v>1731</v>
      </c>
      <c r="AB476" s="139" t="s">
        <v>1732</v>
      </c>
    </row>
    <row r="477" spans="1:28">
      <c r="A477" s="149"/>
      <c r="B477" s="144" t="str">
        <f t="shared" si="40"/>
        <v/>
      </c>
      <c r="C477" s="149"/>
      <c r="D477" s="144" t="str">
        <f t="shared" si="41"/>
        <v/>
      </c>
      <c r="E477" s="183"/>
      <c r="F477" s="144" t="str">
        <f t="shared" si="42"/>
        <v/>
      </c>
      <c r="G477" s="182"/>
      <c r="H477" s="182"/>
      <c r="I477" s="182"/>
      <c r="J477" s="198"/>
      <c r="K477" s="197"/>
      <c r="L477" s="197"/>
      <c r="M477" s="198"/>
      <c r="N477" s="198"/>
      <c r="P477" s="139" t="str">
        <f t="shared" si="43"/>
        <v/>
      </c>
      <c r="Q477" s="139" t="str">
        <f t="shared" si="44"/>
        <v/>
      </c>
      <c r="AA477" s="139" t="s">
        <v>1733</v>
      </c>
      <c r="AB477" s="139" t="s">
        <v>1734</v>
      </c>
    </row>
    <row r="478" spans="1:28">
      <c r="A478" s="149"/>
      <c r="B478" s="144" t="str">
        <f t="shared" si="40"/>
        <v/>
      </c>
      <c r="C478" s="149"/>
      <c r="D478" s="144" t="str">
        <f t="shared" si="41"/>
        <v/>
      </c>
      <c r="E478" s="183"/>
      <c r="F478" s="144" t="str">
        <f t="shared" si="42"/>
        <v/>
      </c>
      <c r="G478" s="182"/>
      <c r="H478" s="182"/>
      <c r="I478" s="182"/>
      <c r="J478" s="198"/>
      <c r="K478" s="197"/>
      <c r="L478" s="197"/>
      <c r="M478" s="198"/>
      <c r="N478" s="198"/>
      <c r="P478" s="139" t="str">
        <f t="shared" si="43"/>
        <v/>
      </c>
      <c r="Q478" s="139" t="str">
        <f t="shared" si="44"/>
        <v/>
      </c>
      <c r="AA478" s="139" t="s">
        <v>1735</v>
      </c>
      <c r="AB478" s="139" t="s">
        <v>1736</v>
      </c>
    </row>
    <row r="479" spans="1:28">
      <c r="A479" s="149"/>
      <c r="B479" s="144" t="str">
        <f t="shared" si="40"/>
        <v/>
      </c>
      <c r="C479" s="149"/>
      <c r="D479" s="144" t="str">
        <f t="shared" si="41"/>
        <v/>
      </c>
      <c r="E479" s="183"/>
      <c r="F479" s="144" t="str">
        <f t="shared" si="42"/>
        <v/>
      </c>
      <c r="G479" s="182"/>
      <c r="H479" s="182"/>
      <c r="I479" s="182"/>
      <c r="J479" s="198"/>
      <c r="K479" s="197"/>
      <c r="L479" s="197"/>
      <c r="M479" s="198"/>
      <c r="N479" s="198"/>
      <c r="P479" s="139" t="str">
        <f t="shared" si="43"/>
        <v/>
      </c>
      <c r="Q479" s="139" t="str">
        <f t="shared" si="44"/>
        <v/>
      </c>
      <c r="AA479" s="139" t="s">
        <v>1737</v>
      </c>
      <c r="AB479" s="139" t="s">
        <v>1738</v>
      </c>
    </row>
    <row r="480" spans="1:28">
      <c r="A480" s="149"/>
      <c r="B480" s="144" t="str">
        <f t="shared" si="40"/>
        <v/>
      </c>
      <c r="C480" s="149"/>
      <c r="D480" s="144" t="str">
        <f t="shared" si="41"/>
        <v/>
      </c>
      <c r="E480" s="183"/>
      <c r="F480" s="144" t="str">
        <f t="shared" si="42"/>
        <v/>
      </c>
      <c r="G480" s="182"/>
      <c r="H480" s="182"/>
      <c r="I480" s="182"/>
      <c r="J480" s="198"/>
      <c r="K480" s="197"/>
      <c r="L480" s="197"/>
      <c r="M480" s="198"/>
      <c r="N480" s="198"/>
      <c r="P480" s="139" t="str">
        <f t="shared" si="43"/>
        <v/>
      </c>
      <c r="Q480" s="139" t="str">
        <f t="shared" si="44"/>
        <v/>
      </c>
      <c r="AA480" s="139" t="s">
        <v>1739</v>
      </c>
      <c r="AB480" s="139" t="s">
        <v>1740</v>
      </c>
    </row>
    <row r="481" spans="1:28">
      <c r="A481" s="149"/>
      <c r="B481" s="144" t="str">
        <f t="shared" si="40"/>
        <v/>
      </c>
      <c r="C481" s="149"/>
      <c r="D481" s="144" t="str">
        <f t="shared" si="41"/>
        <v/>
      </c>
      <c r="E481" s="183"/>
      <c r="F481" s="144" t="str">
        <f t="shared" si="42"/>
        <v/>
      </c>
      <c r="G481" s="182"/>
      <c r="H481" s="182"/>
      <c r="I481" s="182"/>
      <c r="J481" s="198"/>
      <c r="K481" s="197"/>
      <c r="L481" s="197"/>
      <c r="M481" s="198"/>
      <c r="N481" s="198"/>
      <c r="P481" s="139" t="str">
        <f t="shared" si="43"/>
        <v/>
      </c>
      <c r="Q481" s="139" t="str">
        <f t="shared" si="44"/>
        <v/>
      </c>
      <c r="AA481" s="139" t="s">
        <v>1741</v>
      </c>
      <c r="AB481" s="139" t="s">
        <v>1742</v>
      </c>
    </row>
    <row r="482" spans="1:28">
      <c r="A482" s="149"/>
      <c r="B482" s="144" t="str">
        <f t="shared" si="40"/>
        <v/>
      </c>
      <c r="C482" s="149"/>
      <c r="D482" s="144" t="str">
        <f t="shared" si="41"/>
        <v/>
      </c>
      <c r="E482" s="183"/>
      <c r="F482" s="144" t="str">
        <f t="shared" si="42"/>
        <v/>
      </c>
      <c r="G482" s="182"/>
      <c r="H482" s="182"/>
      <c r="I482" s="182"/>
      <c r="J482" s="198"/>
      <c r="K482" s="197"/>
      <c r="L482" s="197"/>
      <c r="M482" s="198"/>
      <c r="N482" s="198"/>
      <c r="P482" s="139" t="str">
        <f t="shared" si="43"/>
        <v/>
      </c>
      <c r="Q482" s="139" t="str">
        <f t="shared" si="44"/>
        <v/>
      </c>
      <c r="AA482" s="139" t="s">
        <v>1743</v>
      </c>
      <c r="AB482" s="139" t="s">
        <v>1744</v>
      </c>
    </row>
    <row r="483" spans="1:28">
      <c r="A483" s="149"/>
      <c r="B483" s="144" t="str">
        <f t="shared" si="40"/>
        <v/>
      </c>
      <c r="C483" s="149"/>
      <c r="D483" s="144" t="str">
        <f t="shared" si="41"/>
        <v/>
      </c>
      <c r="E483" s="183"/>
      <c r="F483" s="144" t="str">
        <f t="shared" si="42"/>
        <v/>
      </c>
      <c r="G483" s="182"/>
      <c r="H483" s="182"/>
      <c r="I483" s="182"/>
      <c r="J483" s="198"/>
      <c r="K483" s="197"/>
      <c r="L483" s="197"/>
      <c r="M483" s="198"/>
      <c r="N483" s="198"/>
      <c r="P483" s="139" t="str">
        <f t="shared" si="43"/>
        <v/>
      </c>
      <c r="Q483" s="139" t="str">
        <f t="shared" si="44"/>
        <v/>
      </c>
      <c r="AA483" s="139" t="s">
        <v>1745</v>
      </c>
      <c r="AB483" s="139" t="s">
        <v>1746</v>
      </c>
    </row>
    <row r="484" spans="1:28">
      <c r="A484" s="149"/>
      <c r="B484" s="144" t="str">
        <f t="shared" si="40"/>
        <v/>
      </c>
      <c r="C484" s="149"/>
      <c r="D484" s="144" t="str">
        <f t="shared" si="41"/>
        <v/>
      </c>
      <c r="E484" s="183"/>
      <c r="F484" s="144" t="str">
        <f t="shared" si="42"/>
        <v/>
      </c>
      <c r="G484" s="182"/>
      <c r="H484" s="182"/>
      <c r="I484" s="182"/>
      <c r="J484" s="198"/>
      <c r="K484" s="197"/>
      <c r="L484" s="197"/>
      <c r="M484" s="198"/>
      <c r="N484" s="198"/>
      <c r="P484" s="139" t="str">
        <f t="shared" si="43"/>
        <v/>
      </c>
      <c r="Q484" s="139" t="str">
        <f t="shared" si="44"/>
        <v/>
      </c>
      <c r="AA484" s="139" t="s">
        <v>1747</v>
      </c>
      <c r="AB484" s="139" t="s">
        <v>1748</v>
      </c>
    </row>
    <row r="485" spans="1:28">
      <c r="A485" s="149"/>
      <c r="B485" s="144" t="str">
        <f t="shared" si="40"/>
        <v/>
      </c>
      <c r="C485" s="149"/>
      <c r="D485" s="144" t="str">
        <f t="shared" si="41"/>
        <v/>
      </c>
      <c r="E485" s="183"/>
      <c r="F485" s="144" t="str">
        <f t="shared" si="42"/>
        <v/>
      </c>
      <c r="G485" s="182"/>
      <c r="H485" s="182"/>
      <c r="I485" s="182"/>
      <c r="J485" s="198"/>
      <c r="K485" s="197"/>
      <c r="L485" s="197"/>
      <c r="M485" s="198"/>
      <c r="N485" s="198"/>
      <c r="P485" s="139" t="str">
        <f t="shared" si="43"/>
        <v/>
      </c>
      <c r="Q485" s="139" t="str">
        <f t="shared" si="44"/>
        <v/>
      </c>
      <c r="AA485" s="139" t="s">
        <v>1749</v>
      </c>
      <c r="AB485" s="139" t="s">
        <v>1750</v>
      </c>
    </row>
    <row r="486" spans="1:28">
      <c r="A486" s="149"/>
      <c r="B486" s="144" t="str">
        <f t="shared" si="40"/>
        <v/>
      </c>
      <c r="C486" s="149"/>
      <c r="D486" s="144" t="str">
        <f t="shared" si="41"/>
        <v/>
      </c>
      <c r="E486" s="183"/>
      <c r="F486" s="144" t="str">
        <f t="shared" si="42"/>
        <v/>
      </c>
      <c r="G486" s="182"/>
      <c r="H486" s="182"/>
      <c r="I486" s="182"/>
      <c r="J486" s="198"/>
      <c r="K486" s="197"/>
      <c r="L486" s="197"/>
      <c r="M486" s="198"/>
      <c r="N486" s="198"/>
      <c r="P486" s="139" t="str">
        <f t="shared" si="43"/>
        <v/>
      </c>
      <c r="Q486" s="139" t="str">
        <f t="shared" si="44"/>
        <v/>
      </c>
      <c r="AA486" s="139" t="s">
        <v>1751</v>
      </c>
      <c r="AB486" s="139" t="s">
        <v>1752</v>
      </c>
    </row>
    <row r="487" spans="1:28">
      <c r="A487" s="149"/>
      <c r="B487" s="144" t="str">
        <f t="shared" si="40"/>
        <v/>
      </c>
      <c r="C487" s="149"/>
      <c r="D487" s="144" t="str">
        <f t="shared" si="41"/>
        <v/>
      </c>
      <c r="E487" s="183"/>
      <c r="F487" s="144" t="str">
        <f t="shared" si="42"/>
        <v/>
      </c>
      <c r="G487" s="182"/>
      <c r="H487" s="182"/>
      <c r="I487" s="182"/>
      <c r="J487" s="198"/>
      <c r="K487" s="197"/>
      <c r="L487" s="197"/>
      <c r="M487" s="198"/>
      <c r="N487" s="198"/>
      <c r="P487" s="139" t="str">
        <f t="shared" si="43"/>
        <v/>
      </c>
      <c r="Q487" s="139" t="str">
        <f t="shared" si="44"/>
        <v/>
      </c>
      <c r="AA487" s="139" t="s">
        <v>1753</v>
      </c>
      <c r="AB487" s="139" t="s">
        <v>1754</v>
      </c>
    </row>
    <row r="488" spans="1:28">
      <c r="A488" s="149"/>
      <c r="B488" s="144" t="str">
        <f t="shared" si="40"/>
        <v/>
      </c>
      <c r="C488" s="149"/>
      <c r="D488" s="144" t="str">
        <f t="shared" si="41"/>
        <v/>
      </c>
      <c r="E488" s="183"/>
      <c r="F488" s="144" t="str">
        <f t="shared" si="42"/>
        <v/>
      </c>
      <c r="G488" s="182"/>
      <c r="H488" s="182"/>
      <c r="I488" s="182"/>
      <c r="J488" s="198"/>
      <c r="K488" s="197"/>
      <c r="L488" s="197"/>
      <c r="M488" s="198"/>
      <c r="N488" s="198"/>
      <c r="P488" s="139" t="str">
        <f t="shared" si="43"/>
        <v/>
      </c>
      <c r="Q488" s="139" t="str">
        <f t="shared" si="44"/>
        <v/>
      </c>
      <c r="AA488" s="139" t="s">
        <v>1755</v>
      </c>
      <c r="AB488" s="139" t="s">
        <v>1756</v>
      </c>
    </row>
    <row r="489" spans="1:28">
      <c r="A489" s="149"/>
      <c r="B489" s="144" t="str">
        <f t="shared" si="40"/>
        <v/>
      </c>
      <c r="C489" s="149"/>
      <c r="D489" s="144" t="str">
        <f t="shared" si="41"/>
        <v/>
      </c>
      <c r="E489" s="183"/>
      <c r="F489" s="144" t="str">
        <f t="shared" si="42"/>
        <v/>
      </c>
      <c r="G489" s="182"/>
      <c r="H489" s="182"/>
      <c r="I489" s="182"/>
      <c r="J489" s="198"/>
      <c r="K489" s="197"/>
      <c r="L489" s="197"/>
      <c r="M489" s="198"/>
      <c r="N489" s="198"/>
      <c r="P489" s="139" t="str">
        <f t="shared" si="43"/>
        <v/>
      </c>
      <c r="Q489" s="139" t="str">
        <f t="shared" si="44"/>
        <v/>
      </c>
      <c r="AA489" s="139" t="s">
        <v>1757</v>
      </c>
      <c r="AB489" s="139" t="s">
        <v>1758</v>
      </c>
    </row>
    <row r="490" spans="1:28">
      <c r="A490" s="149"/>
      <c r="B490" s="144" t="str">
        <f t="shared" si="40"/>
        <v/>
      </c>
      <c r="C490" s="149"/>
      <c r="D490" s="144" t="str">
        <f t="shared" si="41"/>
        <v/>
      </c>
      <c r="E490" s="183"/>
      <c r="F490" s="144" t="str">
        <f t="shared" si="42"/>
        <v/>
      </c>
      <c r="G490" s="182"/>
      <c r="H490" s="182"/>
      <c r="I490" s="182"/>
      <c r="J490" s="198"/>
      <c r="K490" s="197"/>
      <c r="L490" s="197"/>
      <c r="M490" s="198"/>
      <c r="N490" s="198"/>
      <c r="P490" s="139" t="str">
        <f t="shared" si="43"/>
        <v/>
      </c>
      <c r="Q490" s="139" t="str">
        <f t="shared" si="44"/>
        <v/>
      </c>
      <c r="AA490" s="139" t="s">
        <v>2606</v>
      </c>
      <c r="AB490" s="139" t="s">
        <v>2607</v>
      </c>
    </row>
    <row r="491" spans="1:28">
      <c r="A491" s="149"/>
      <c r="B491" s="144" t="str">
        <f t="shared" si="40"/>
        <v/>
      </c>
      <c r="C491" s="149"/>
      <c r="D491" s="144" t="str">
        <f t="shared" si="41"/>
        <v/>
      </c>
      <c r="E491" s="183"/>
      <c r="F491" s="144" t="str">
        <f t="shared" si="42"/>
        <v/>
      </c>
      <c r="G491" s="182"/>
      <c r="H491" s="182"/>
      <c r="I491" s="182"/>
      <c r="J491" s="198"/>
      <c r="K491" s="197"/>
      <c r="L491" s="197"/>
      <c r="M491" s="198"/>
      <c r="N491" s="198"/>
      <c r="P491" s="139" t="str">
        <f t="shared" si="43"/>
        <v/>
      </c>
      <c r="Q491" s="139" t="str">
        <f t="shared" si="44"/>
        <v/>
      </c>
      <c r="AA491" s="139" t="s">
        <v>2608</v>
      </c>
      <c r="AB491" s="139" t="s">
        <v>2609</v>
      </c>
    </row>
    <row r="492" spans="1:28">
      <c r="A492" s="149"/>
      <c r="B492" s="144" t="str">
        <f t="shared" si="40"/>
        <v/>
      </c>
      <c r="C492" s="149"/>
      <c r="D492" s="144" t="str">
        <f t="shared" si="41"/>
        <v/>
      </c>
      <c r="E492" s="183"/>
      <c r="F492" s="144" t="str">
        <f t="shared" si="42"/>
        <v/>
      </c>
      <c r="G492" s="182"/>
      <c r="H492" s="182"/>
      <c r="I492" s="182"/>
      <c r="J492" s="198"/>
      <c r="K492" s="197"/>
      <c r="L492" s="197"/>
      <c r="M492" s="198"/>
      <c r="N492" s="198"/>
      <c r="P492" s="139" t="str">
        <f t="shared" si="43"/>
        <v/>
      </c>
      <c r="Q492" s="139" t="str">
        <f t="shared" si="44"/>
        <v/>
      </c>
      <c r="AA492" s="139" t="s">
        <v>2610</v>
      </c>
      <c r="AB492" s="139" t="s">
        <v>2611</v>
      </c>
    </row>
    <row r="493" spans="1:28">
      <c r="A493" s="149"/>
      <c r="B493" s="144" t="str">
        <f t="shared" si="40"/>
        <v/>
      </c>
      <c r="C493" s="149"/>
      <c r="D493" s="144" t="str">
        <f t="shared" si="41"/>
        <v/>
      </c>
      <c r="E493" s="183"/>
      <c r="F493" s="144" t="str">
        <f t="shared" si="42"/>
        <v/>
      </c>
      <c r="G493" s="182"/>
      <c r="H493" s="182"/>
      <c r="I493" s="182"/>
      <c r="J493" s="198"/>
      <c r="K493" s="197"/>
      <c r="L493" s="197"/>
      <c r="M493" s="198"/>
      <c r="N493" s="198"/>
      <c r="P493" s="139" t="str">
        <f t="shared" si="43"/>
        <v/>
      </c>
      <c r="Q493" s="139" t="str">
        <f t="shared" si="44"/>
        <v/>
      </c>
      <c r="AA493" s="139" t="s">
        <v>2612</v>
      </c>
      <c r="AB493" s="139" t="s">
        <v>2613</v>
      </c>
    </row>
    <row r="494" spans="1:28">
      <c r="A494" s="149"/>
      <c r="B494" s="144" t="str">
        <f t="shared" si="40"/>
        <v/>
      </c>
      <c r="C494" s="149"/>
      <c r="D494" s="144" t="str">
        <f t="shared" si="41"/>
        <v/>
      </c>
      <c r="E494" s="183"/>
      <c r="F494" s="144" t="str">
        <f t="shared" si="42"/>
        <v/>
      </c>
      <c r="G494" s="182"/>
      <c r="H494" s="182"/>
      <c r="I494" s="182"/>
      <c r="J494" s="198"/>
      <c r="K494" s="197"/>
      <c r="L494" s="197"/>
      <c r="M494" s="198"/>
      <c r="N494" s="198"/>
      <c r="P494" s="139" t="str">
        <f t="shared" si="43"/>
        <v/>
      </c>
      <c r="Q494" s="139" t="str">
        <f t="shared" si="44"/>
        <v/>
      </c>
      <c r="AA494" s="139" t="s">
        <v>2614</v>
      </c>
      <c r="AB494" s="139" t="s">
        <v>2615</v>
      </c>
    </row>
    <row r="495" spans="1:28">
      <c r="A495" s="149"/>
      <c r="B495" s="144" t="str">
        <f t="shared" si="40"/>
        <v/>
      </c>
      <c r="C495" s="149"/>
      <c r="D495" s="144" t="str">
        <f t="shared" si="41"/>
        <v/>
      </c>
      <c r="E495" s="183"/>
      <c r="F495" s="144" t="str">
        <f t="shared" si="42"/>
        <v/>
      </c>
      <c r="G495" s="182"/>
      <c r="H495" s="182"/>
      <c r="I495" s="182"/>
      <c r="J495" s="198"/>
      <c r="K495" s="197"/>
      <c r="L495" s="197"/>
      <c r="M495" s="198"/>
      <c r="N495" s="198"/>
      <c r="P495" s="139" t="str">
        <f t="shared" si="43"/>
        <v/>
      </c>
      <c r="Q495" s="139" t="str">
        <f t="shared" si="44"/>
        <v/>
      </c>
      <c r="AA495" s="139" t="s">
        <v>2616</v>
      </c>
      <c r="AB495" s="139" t="s">
        <v>2617</v>
      </c>
    </row>
    <row r="496" spans="1:28">
      <c r="A496" s="149"/>
      <c r="B496" s="144" t="str">
        <f t="shared" si="40"/>
        <v/>
      </c>
      <c r="C496" s="149"/>
      <c r="D496" s="144" t="str">
        <f t="shared" si="41"/>
        <v/>
      </c>
      <c r="E496" s="183"/>
      <c r="F496" s="144" t="str">
        <f t="shared" si="42"/>
        <v/>
      </c>
      <c r="G496" s="182"/>
      <c r="H496" s="182"/>
      <c r="I496" s="182"/>
      <c r="J496" s="198"/>
      <c r="K496" s="197"/>
      <c r="L496" s="197"/>
      <c r="M496" s="198"/>
      <c r="N496" s="198"/>
      <c r="P496" s="139" t="str">
        <f t="shared" si="43"/>
        <v/>
      </c>
      <c r="Q496" s="139" t="str">
        <f t="shared" si="44"/>
        <v/>
      </c>
      <c r="AA496" s="139" t="s">
        <v>2618</v>
      </c>
      <c r="AB496" s="139" t="s">
        <v>2619</v>
      </c>
    </row>
    <row r="497" spans="1:28">
      <c r="A497" s="149"/>
      <c r="B497" s="144" t="str">
        <f t="shared" si="40"/>
        <v/>
      </c>
      <c r="C497" s="149"/>
      <c r="D497" s="144" t="str">
        <f t="shared" si="41"/>
        <v/>
      </c>
      <c r="E497" s="183"/>
      <c r="F497" s="144" t="str">
        <f t="shared" si="42"/>
        <v/>
      </c>
      <c r="G497" s="182"/>
      <c r="H497" s="182"/>
      <c r="I497" s="182"/>
      <c r="J497" s="198"/>
      <c r="K497" s="197"/>
      <c r="L497" s="197"/>
      <c r="M497" s="198"/>
      <c r="N497" s="198"/>
      <c r="P497" s="139" t="str">
        <f t="shared" si="43"/>
        <v/>
      </c>
      <c r="Q497" s="139" t="str">
        <f t="shared" si="44"/>
        <v/>
      </c>
      <c r="AA497" s="139" t="s">
        <v>2620</v>
      </c>
      <c r="AB497" s="139" t="s">
        <v>2621</v>
      </c>
    </row>
    <row r="498" spans="1:28">
      <c r="A498" s="149"/>
      <c r="B498" s="144" t="str">
        <f t="shared" si="40"/>
        <v/>
      </c>
      <c r="C498" s="149"/>
      <c r="D498" s="144" t="str">
        <f t="shared" si="41"/>
        <v/>
      </c>
      <c r="E498" s="183"/>
      <c r="F498" s="144" t="str">
        <f t="shared" si="42"/>
        <v/>
      </c>
      <c r="G498" s="182"/>
      <c r="H498" s="182"/>
      <c r="I498" s="182"/>
      <c r="J498" s="198"/>
      <c r="K498" s="197"/>
      <c r="L498" s="197"/>
      <c r="M498" s="198"/>
      <c r="N498" s="198"/>
      <c r="P498" s="139" t="str">
        <f t="shared" si="43"/>
        <v/>
      </c>
      <c r="Q498" s="139" t="str">
        <f t="shared" si="44"/>
        <v/>
      </c>
      <c r="AA498" s="139" t="s">
        <v>2622</v>
      </c>
      <c r="AB498" s="139" t="s">
        <v>2623</v>
      </c>
    </row>
    <row r="499" spans="1:28">
      <c r="A499" s="149"/>
      <c r="B499" s="144" t="str">
        <f t="shared" si="40"/>
        <v/>
      </c>
      <c r="C499" s="149"/>
      <c r="D499" s="144" t="str">
        <f t="shared" si="41"/>
        <v/>
      </c>
      <c r="E499" s="183"/>
      <c r="F499" s="144" t="str">
        <f t="shared" si="42"/>
        <v/>
      </c>
      <c r="G499" s="182"/>
      <c r="H499" s="182"/>
      <c r="I499" s="182"/>
      <c r="J499" s="198"/>
      <c r="K499" s="197"/>
      <c r="L499" s="197"/>
      <c r="M499" s="198"/>
      <c r="N499" s="198"/>
      <c r="P499" s="139" t="str">
        <f t="shared" si="43"/>
        <v/>
      </c>
      <c r="Q499" s="139" t="str">
        <f t="shared" si="44"/>
        <v/>
      </c>
      <c r="AA499" s="139" t="s">
        <v>2624</v>
      </c>
      <c r="AB499" s="139" t="s">
        <v>2625</v>
      </c>
    </row>
    <row r="500" spans="1:28">
      <c r="A500" s="149"/>
      <c r="B500" s="144" t="str">
        <f t="shared" si="40"/>
        <v/>
      </c>
      <c r="C500" s="149"/>
      <c r="D500" s="144" t="str">
        <f t="shared" si="41"/>
        <v/>
      </c>
      <c r="E500" s="183"/>
      <c r="F500" s="144" t="str">
        <f t="shared" si="42"/>
        <v/>
      </c>
      <c r="G500" s="182"/>
      <c r="H500" s="182"/>
      <c r="I500" s="182"/>
      <c r="J500" s="198"/>
      <c r="K500" s="197"/>
      <c r="L500" s="197"/>
      <c r="M500" s="198"/>
      <c r="N500" s="198"/>
      <c r="P500" s="139" t="str">
        <f t="shared" si="43"/>
        <v/>
      </c>
      <c r="Q500" s="139" t="str">
        <f t="shared" si="44"/>
        <v/>
      </c>
      <c r="AA500" s="139" t="s">
        <v>2626</v>
      </c>
      <c r="AB500" s="139" t="s">
        <v>2627</v>
      </c>
    </row>
    <row r="501" spans="1:28">
      <c r="A501" s="149"/>
      <c r="B501" s="144" t="str">
        <f t="shared" si="40"/>
        <v/>
      </c>
      <c r="C501" s="149"/>
      <c r="D501" s="144" t="str">
        <f t="shared" si="41"/>
        <v/>
      </c>
      <c r="E501" s="183"/>
      <c r="F501" s="144" t="str">
        <f t="shared" si="42"/>
        <v/>
      </c>
      <c r="G501" s="182"/>
      <c r="H501" s="182"/>
      <c r="I501" s="182"/>
      <c r="J501" s="198"/>
      <c r="K501" s="197"/>
      <c r="L501" s="197"/>
      <c r="M501" s="198"/>
      <c r="N501" s="198"/>
      <c r="P501" s="139" t="str">
        <f t="shared" si="43"/>
        <v/>
      </c>
      <c r="Q501" s="139" t="str">
        <f t="shared" si="44"/>
        <v/>
      </c>
      <c r="AA501" s="139" t="s">
        <v>2628</v>
      </c>
      <c r="AB501" s="139" t="s">
        <v>2629</v>
      </c>
    </row>
    <row r="502" spans="1:28" ht="15.75" customHeight="1">
      <c r="AA502" s="139" t="s">
        <v>2630</v>
      </c>
      <c r="AB502" s="139" t="s">
        <v>2631</v>
      </c>
    </row>
    <row r="503" spans="1:28" hidden="1">
      <c r="AA503" s="139" t="s">
        <v>2632</v>
      </c>
      <c r="AB503" s="139" t="s">
        <v>2633</v>
      </c>
    </row>
    <row r="504" spans="1:28" hidden="1">
      <c r="AA504" s="139" t="s">
        <v>2634</v>
      </c>
      <c r="AB504" s="139" t="s">
        <v>2635</v>
      </c>
    </row>
    <row r="505" spans="1:28" hidden="1">
      <c r="AA505" s="139" t="s">
        <v>2636</v>
      </c>
      <c r="AB505" s="139" t="s">
        <v>2637</v>
      </c>
    </row>
    <row r="506" spans="1:28" hidden="1">
      <c r="AA506" s="139" t="s">
        <v>2638</v>
      </c>
      <c r="AB506" s="139" t="s">
        <v>2639</v>
      </c>
    </row>
    <row r="507" spans="1:28" hidden="1">
      <c r="AA507" s="139" t="s">
        <v>2640</v>
      </c>
      <c r="AB507" s="139" t="s">
        <v>2641</v>
      </c>
    </row>
    <row r="508" spans="1:28" hidden="1">
      <c r="AA508" s="139" t="s">
        <v>2642</v>
      </c>
      <c r="AB508" s="139" t="s">
        <v>2643</v>
      </c>
    </row>
    <row r="509" spans="1:28" hidden="1">
      <c r="AA509" s="139" t="s">
        <v>2644</v>
      </c>
      <c r="AB509" s="139" t="s">
        <v>2645</v>
      </c>
    </row>
    <row r="510" spans="1:28" hidden="1">
      <c r="AA510" s="139" t="s">
        <v>2646</v>
      </c>
      <c r="AB510" s="139" t="s">
        <v>2647</v>
      </c>
    </row>
    <row r="511" spans="1:28" hidden="1">
      <c r="AA511" s="139" t="s">
        <v>2648</v>
      </c>
      <c r="AB511" s="139" t="s">
        <v>2649</v>
      </c>
    </row>
    <row r="512" spans="1:28" hidden="1">
      <c r="AA512" s="139" t="s">
        <v>2650</v>
      </c>
      <c r="AB512" s="139" t="s">
        <v>2651</v>
      </c>
    </row>
    <row r="513" spans="27:28" hidden="1">
      <c r="AA513" s="139" t="s">
        <v>2652</v>
      </c>
      <c r="AB513" s="139" t="s">
        <v>2653</v>
      </c>
    </row>
    <row r="514" spans="27:28" hidden="1">
      <c r="AA514" s="139" t="s">
        <v>2654</v>
      </c>
      <c r="AB514" s="139" t="s">
        <v>2655</v>
      </c>
    </row>
    <row r="515" spans="27:28" hidden="1">
      <c r="AA515" s="139" t="s">
        <v>2656</v>
      </c>
      <c r="AB515" s="139" t="s">
        <v>2657</v>
      </c>
    </row>
    <row r="516" spans="27:28" hidden="1">
      <c r="AA516" s="139" t="s">
        <v>2658</v>
      </c>
      <c r="AB516" s="139" t="s">
        <v>2659</v>
      </c>
    </row>
    <row r="517" spans="27:28" hidden="1">
      <c r="AA517" s="139" t="s">
        <v>2660</v>
      </c>
      <c r="AB517" s="139" t="s">
        <v>2661</v>
      </c>
    </row>
    <row r="518" spans="27:28" hidden="1">
      <c r="AA518" s="139" t="s">
        <v>2662</v>
      </c>
      <c r="AB518" s="139" t="s">
        <v>2663</v>
      </c>
    </row>
    <row r="519" spans="27:28" hidden="1">
      <c r="AA519" s="139" t="s">
        <v>2664</v>
      </c>
      <c r="AB519" s="139" t="s">
        <v>2665</v>
      </c>
    </row>
    <row r="520" spans="27:28" hidden="1">
      <c r="AA520" s="139" t="s">
        <v>2666</v>
      </c>
      <c r="AB520" s="139" t="s">
        <v>2667</v>
      </c>
    </row>
    <row r="521" spans="27:28" hidden="1">
      <c r="AA521" s="139" t="s">
        <v>2668</v>
      </c>
      <c r="AB521" s="139" t="s">
        <v>2669</v>
      </c>
    </row>
    <row r="522" spans="27:28" hidden="1">
      <c r="AA522" s="139" t="s">
        <v>2670</v>
      </c>
      <c r="AB522" s="139" t="s">
        <v>2671</v>
      </c>
    </row>
    <row r="523" spans="27:28" hidden="1">
      <c r="AA523" s="139" t="s">
        <v>2672</v>
      </c>
      <c r="AB523" s="139" t="s">
        <v>2673</v>
      </c>
    </row>
    <row r="524" spans="27:28" hidden="1">
      <c r="AA524" s="139" t="s">
        <v>2674</v>
      </c>
      <c r="AB524" s="139" t="s">
        <v>2675</v>
      </c>
    </row>
    <row r="525" spans="27:28" hidden="1">
      <c r="AA525" s="139" t="s">
        <v>2676</v>
      </c>
      <c r="AB525" s="139" t="s">
        <v>2677</v>
      </c>
    </row>
    <row r="526" spans="27:28" hidden="1">
      <c r="AA526" s="139" t="s">
        <v>2678</v>
      </c>
      <c r="AB526" s="139" t="s">
        <v>2679</v>
      </c>
    </row>
    <row r="527" spans="27:28" hidden="1">
      <c r="AA527" s="139" t="s">
        <v>2680</v>
      </c>
      <c r="AB527" s="139" t="s">
        <v>2681</v>
      </c>
    </row>
    <row r="528" spans="27:28" hidden="1">
      <c r="AA528" s="139" t="s">
        <v>2682</v>
      </c>
      <c r="AB528" s="139" t="s">
        <v>2683</v>
      </c>
    </row>
    <row r="529" spans="27:28" hidden="1">
      <c r="AA529" s="139" t="s">
        <v>2684</v>
      </c>
      <c r="AB529" s="139" t="s">
        <v>1584</v>
      </c>
    </row>
    <row r="530" spans="27:28" hidden="1">
      <c r="AA530" s="139" t="s">
        <v>2685</v>
      </c>
      <c r="AB530" s="139" t="s">
        <v>2686</v>
      </c>
    </row>
    <row r="531" spans="27:28" hidden="1">
      <c r="AA531" s="139" t="s">
        <v>2687</v>
      </c>
      <c r="AB531" s="139" t="s">
        <v>2688</v>
      </c>
    </row>
    <row r="532" spans="27:28" hidden="1">
      <c r="AA532" s="139" t="s">
        <v>2689</v>
      </c>
      <c r="AB532" s="139" t="s">
        <v>2690</v>
      </c>
    </row>
    <row r="533" spans="27:28" hidden="1">
      <c r="AA533" s="139" t="s">
        <v>2691</v>
      </c>
      <c r="AB533" s="139" t="s">
        <v>2692</v>
      </c>
    </row>
    <row r="534" spans="27:28" hidden="1">
      <c r="AA534" s="139" t="s">
        <v>2693</v>
      </c>
      <c r="AB534" s="139" t="s">
        <v>2694</v>
      </c>
    </row>
    <row r="535" spans="27:28" hidden="1">
      <c r="AA535" s="139" t="s">
        <v>2695</v>
      </c>
      <c r="AB535" s="139" t="s">
        <v>2696</v>
      </c>
    </row>
    <row r="536" spans="27:28" hidden="1">
      <c r="AA536" s="139" t="s">
        <v>2697</v>
      </c>
      <c r="AB536" s="139" t="s">
        <v>2698</v>
      </c>
    </row>
    <row r="537" spans="27:28" hidden="1">
      <c r="AA537" s="139" t="s">
        <v>2699</v>
      </c>
      <c r="AB537" s="139" t="s">
        <v>2700</v>
      </c>
    </row>
    <row r="538" spans="27:28" hidden="1">
      <c r="AA538" s="139" t="s">
        <v>2701</v>
      </c>
      <c r="AB538" s="139" t="s">
        <v>2702</v>
      </c>
    </row>
    <row r="539" spans="27:28" hidden="1">
      <c r="AA539" s="139" t="s">
        <v>2703</v>
      </c>
      <c r="AB539" s="139" t="s">
        <v>2704</v>
      </c>
    </row>
    <row r="540" spans="27:28" hidden="1">
      <c r="AA540" s="139" t="s">
        <v>2705</v>
      </c>
      <c r="AB540" s="139" t="s">
        <v>2706</v>
      </c>
    </row>
    <row r="541" spans="27:28" hidden="1">
      <c r="AA541" s="139" t="s">
        <v>2707</v>
      </c>
      <c r="AB541" s="139" t="s">
        <v>2708</v>
      </c>
    </row>
    <row r="542" spans="27:28" hidden="1">
      <c r="AA542" s="139" t="s">
        <v>2709</v>
      </c>
      <c r="AB542" s="139" t="s">
        <v>2710</v>
      </c>
    </row>
    <row r="543" spans="27:28" hidden="1">
      <c r="AA543" s="139" t="s">
        <v>2711</v>
      </c>
      <c r="AB543" s="139" t="s">
        <v>2712</v>
      </c>
    </row>
    <row r="544" spans="27:28" hidden="1">
      <c r="AA544" s="139" t="s">
        <v>2713</v>
      </c>
      <c r="AB544" s="139" t="s">
        <v>2714</v>
      </c>
    </row>
    <row r="545" spans="27:28" hidden="1">
      <c r="AA545" s="139" t="s">
        <v>2715</v>
      </c>
      <c r="AB545" s="139" t="s">
        <v>2716</v>
      </c>
    </row>
    <row r="546" spans="27:28" hidden="1">
      <c r="AA546" s="139" t="s">
        <v>2717</v>
      </c>
      <c r="AB546" s="139" t="s">
        <v>2718</v>
      </c>
    </row>
    <row r="547" spans="27:28" hidden="1">
      <c r="AA547" s="139" t="s">
        <v>2719</v>
      </c>
      <c r="AB547" s="139" t="s">
        <v>2720</v>
      </c>
    </row>
    <row r="548" spans="27:28" hidden="1">
      <c r="AA548" s="139" t="s">
        <v>2721</v>
      </c>
      <c r="AB548" s="139" t="s">
        <v>2722</v>
      </c>
    </row>
    <row r="549" spans="27:28" hidden="1">
      <c r="AA549" s="139" t="s">
        <v>2723</v>
      </c>
      <c r="AB549" s="139" t="s">
        <v>2724</v>
      </c>
    </row>
    <row r="550" spans="27:28" hidden="1">
      <c r="AA550" s="139" t="s">
        <v>2725</v>
      </c>
      <c r="AB550" s="139" t="s">
        <v>2726</v>
      </c>
    </row>
    <row r="551" spans="27:28" hidden="1">
      <c r="AA551" s="139" t="s">
        <v>2727</v>
      </c>
      <c r="AB551" s="139" t="s">
        <v>2728</v>
      </c>
    </row>
    <row r="552" spans="27:28" hidden="1">
      <c r="AA552" s="139" t="s">
        <v>2729</v>
      </c>
      <c r="AB552" s="139" t="s">
        <v>2730</v>
      </c>
    </row>
    <row r="553" spans="27:28" hidden="1">
      <c r="AA553" s="139" t="s">
        <v>2731</v>
      </c>
      <c r="AB553" s="139" t="s">
        <v>2732</v>
      </c>
    </row>
    <row r="554" spans="27:28" hidden="1">
      <c r="AA554" s="139" t="s">
        <v>2733</v>
      </c>
      <c r="AB554" s="139" t="s">
        <v>2734</v>
      </c>
    </row>
    <row r="555" spans="27:28" hidden="1">
      <c r="AA555" s="139" t="s">
        <v>2735</v>
      </c>
      <c r="AB555" s="139" t="s">
        <v>2736</v>
      </c>
    </row>
    <row r="556" spans="27:28" hidden="1">
      <c r="AA556" s="139" t="s">
        <v>2737</v>
      </c>
      <c r="AB556" s="139" t="s">
        <v>2738</v>
      </c>
    </row>
    <row r="557" spans="27:28" hidden="1">
      <c r="AA557" s="139" t="s">
        <v>2739</v>
      </c>
      <c r="AB557" s="139" t="s">
        <v>2740</v>
      </c>
    </row>
    <row r="558" spans="27:28" hidden="1">
      <c r="AA558" s="139" t="s">
        <v>2741</v>
      </c>
      <c r="AB558" s="139" t="s">
        <v>2742</v>
      </c>
    </row>
    <row r="559" spans="27:28" hidden="1">
      <c r="AA559" s="139" t="s">
        <v>2743</v>
      </c>
      <c r="AB559" s="139" t="s">
        <v>2744</v>
      </c>
    </row>
    <row r="560" spans="27:28" hidden="1">
      <c r="AA560" s="139" t="s">
        <v>2745</v>
      </c>
      <c r="AB560" s="139" t="s">
        <v>2746</v>
      </c>
    </row>
    <row r="561" spans="27:28" hidden="1">
      <c r="AA561" s="139" t="s">
        <v>2747</v>
      </c>
      <c r="AB561" s="139" t="s">
        <v>2748</v>
      </c>
    </row>
    <row r="562" spans="27:28" hidden="1">
      <c r="AA562" s="139" t="s">
        <v>2749</v>
      </c>
      <c r="AB562" s="139" t="s">
        <v>2750</v>
      </c>
    </row>
    <row r="563" spans="27:28" hidden="1">
      <c r="AA563" s="139" t="s">
        <v>2751</v>
      </c>
      <c r="AB563" s="139" t="s">
        <v>1750</v>
      </c>
    </row>
    <row r="564" spans="27:28" hidden="1">
      <c r="AA564" s="139" t="s">
        <v>2752</v>
      </c>
      <c r="AB564" s="139" t="s">
        <v>2753</v>
      </c>
    </row>
    <row r="565" spans="27:28" hidden="1">
      <c r="AA565" s="139" t="s">
        <v>2754</v>
      </c>
      <c r="AB565" s="139" t="s">
        <v>2755</v>
      </c>
    </row>
    <row r="566" spans="27:28" hidden="1">
      <c r="AA566" s="139" t="s">
        <v>2756</v>
      </c>
      <c r="AB566" s="139" t="s">
        <v>2757</v>
      </c>
    </row>
    <row r="567" spans="27:28" hidden="1">
      <c r="AA567" s="139" t="s">
        <v>2758</v>
      </c>
      <c r="AB567" s="139" t="s">
        <v>2759</v>
      </c>
    </row>
    <row r="568" spans="27:28" hidden="1">
      <c r="AA568" s="139" t="s">
        <v>2760</v>
      </c>
      <c r="AB568" s="139" t="s">
        <v>2761</v>
      </c>
    </row>
    <row r="569" spans="27:28" hidden="1">
      <c r="AA569" s="139" t="s">
        <v>2762</v>
      </c>
      <c r="AB569" s="139" t="s">
        <v>2763</v>
      </c>
    </row>
    <row r="570" spans="27:28" hidden="1">
      <c r="AA570" s="139" t="s">
        <v>2764</v>
      </c>
      <c r="AB570" s="139" t="s">
        <v>2765</v>
      </c>
    </row>
    <row r="571" spans="27:28" hidden="1">
      <c r="AA571" s="139" t="s">
        <v>2766</v>
      </c>
      <c r="AB571" s="139" t="s">
        <v>2767</v>
      </c>
    </row>
    <row r="572" spans="27:28" hidden="1">
      <c r="AA572" s="139" t="s">
        <v>2768</v>
      </c>
      <c r="AB572" s="139" t="s">
        <v>2769</v>
      </c>
    </row>
    <row r="573" spans="27:28" hidden="1">
      <c r="AA573" s="139" t="s">
        <v>2770</v>
      </c>
      <c r="AB573" s="139" t="s">
        <v>2771</v>
      </c>
    </row>
    <row r="574" spans="27:28" hidden="1">
      <c r="AA574" s="139" t="s">
        <v>2772</v>
      </c>
      <c r="AB574" s="139" t="s">
        <v>2773</v>
      </c>
    </row>
    <row r="575" spans="27:28" hidden="1">
      <c r="AA575" s="139" t="s">
        <v>2774</v>
      </c>
      <c r="AB575" s="139" t="s">
        <v>2775</v>
      </c>
    </row>
    <row r="576" spans="27:28" hidden="1">
      <c r="AA576" s="139" t="s">
        <v>2776</v>
      </c>
      <c r="AB576" s="139" t="s">
        <v>2777</v>
      </c>
    </row>
    <row r="577" spans="27:28" hidden="1">
      <c r="AA577" s="139" t="s">
        <v>2778</v>
      </c>
      <c r="AB577" s="139" t="s">
        <v>2779</v>
      </c>
    </row>
    <row r="578" spans="27:28" hidden="1">
      <c r="AA578" s="139" t="s">
        <v>2780</v>
      </c>
      <c r="AB578" s="139" t="s">
        <v>2781</v>
      </c>
    </row>
    <row r="579" spans="27:28" hidden="1">
      <c r="AA579" s="139" t="s">
        <v>2782</v>
      </c>
      <c r="AB579" s="139" t="s">
        <v>2783</v>
      </c>
    </row>
    <row r="580" spans="27:28" hidden="1">
      <c r="AA580" s="139" t="s">
        <v>2784</v>
      </c>
      <c r="AB580" s="139" t="s">
        <v>2785</v>
      </c>
    </row>
    <row r="581" spans="27:28" hidden="1">
      <c r="AA581" s="139" t="s">
        <v>2786</v>
      </c>
      <c r="AB581" s="139" t="s">
        <v>2787</v>
      </c>
    </row>
    <row r="582" spans="27:28" hidden="1">
      <c r="AA582" s="139" t="s">
        <v>2788</v>
      </c>
      <c r="AB582" s="139" t="s">
        <v>2789</v>
      </c>
    </row>
    <row r="583" spans="27:28" hidden="1">
      <c r="AA583" s="139" t="s">
        <v>2790</v>
      </c>
      <c r="AB583" s="139" t="s">
        <v>2791</v>
      </c>
    </row>
    <row r="584" spans="27:28" hidden="1">
      <c r="AA584" s="139" t="s">
        <v>2792</v>
      </c>
      <c r="AB584" s="139" t="s">
        <v>2793</v>
      </c>
    </row>
    <row r="585" spans="27:28" hidden="1">
      <c r="AA585" s="139" t="s">
        <v>2794</v>
      </c>
      <c r="AB585" s="139" t="s">
        <v>2795</v>
      </c>
    </row>
    <row r="586" spans="27:28" hidden="1">
      <c r="AA586" s="139" t="s">
        <v>2796</v>
      </c>
      <c r="AB586" s="139" t="s">
        <v>2797</v>
      </c>
    </row>
    <row r="587" spans="27:28" hidden="1">
      <c r="AA587" s="139" t="s">
        <v>2798</v>
      </c>
      <c r="AB587" s="139" t="s">
        <v>2799</v>
      </c>
    </row>
    <row r="588" spans="27:28" hidden="1">
      <c r="AA588" s="139" t="s">
        <v>2800</v>
      </c>
      <c r="AB588" s="139" t="s">
        <v>2801</v>
      </c>
    </row>
    <row r="589" spans="27:28" hidden="1">
      <c r="AA589" s="139" t="s">
        <v>2802</v>
      </c>
      <c r="AB589" s="139" t="s">
        <v>2803</v>
      </c>
    </row>
    <row r="590" spans="27:28" hidden="1">
      <c r="AA590" s="139" t="s">
        <v>2804</v>
      </c>
      <c r="AB590" s="139" t="s">
        <v>2805</v>
      </c>
    </row>
    <row r="591" spans="27:28" hidden="1">
      <c r="AA591" s="139" t="s">
        <v>2806</v>
      </c>
      <c r="AB591" s="139" t="s">
        <v>2807</v>
      </c>
    </row>
    <row r="592" spans="27:28" hidden="1">
      <c r="AA592" s="139" t="s">
        <v>2808</v>
      </c>
      <c r="AB592" s="139" t="s">
        <v>2809</v>
      </c>
    </row>
    <row r="593" spans="27:28" hidden="1">
      <c r="AA593" s="139" t="s">
        <v>2810</v>
      </c>
      <c r="AB593" s="139" t="s">
        <v>2811</v>
      </c>
    </row>
    <row r="594" spans="27:28" hidden="1">
      <c r="AA594" s="139" t="s">
        <v>2812</v>
      </c>
      <c r="AB594" s="139" t="s">
        <v>2813</v>
      </c>
    </row>
    <row r="595" spans="27:28" hidden="1">
      <c r="AA595" s="139" t="s">
        <v>2814</v>
      </c>
      <c r="AB595" s="139" t="s">
        <v>2815</v>
      </c>
    </row>
    <row r="596" spans="27:28" hidden="1">
      <c r="AA596" s="139" t="s">
        <v>2816</v>
      </c>
      <c r="AB596" s="139" t="s">
        <v>2817</v>
      </c>
    </row>
    <row r="597" spans="27:28" hidden="1">
      <c r="AA597" s="139" t="s">
        <v>2818</v>
      </c>
      <c r="AB597" s="139" t="s">
        <v>2819</v>
      </c>
    </row>
    <row r="598" spans="27:28" hidden="1">
      <c r="AA598" s="139" t="s">
        <v>2820</v>
      </c>
      <c r="AB598" s="139" t="s">
        <v>2821</v>
      </c>
    </row>
    <row r="599" spans="27:28" hidden="1">
      <c r="AA599" s="139" t="s">
        <v>2822</v>
      </c>
      <c r="AB599" s="139" t="s">
        <v>2823</v>
      </c>
    </row>
    <row r="600" spans="27:28" hidden="1">
      <c r="AA600" s="139" t="s">
        <v>2824</v>
      </c>
      <c r="AB600" s="139" t="s">
        <v>2825</v>
      </c>
    </row>
    <row r="601" spans="27:28" hidden="1">
      <c r="AA601" s="139" t="s">
        <v>2826</v>
      </c>
      <c r="AB601" s="139" t="s">
        <v>2827</v>
      </c>
    </row>
    <row r="602" spans="27:28" hidden="1">
      <c r="AA602" s="139" t="s">
        <v>2828</v>
      </c>
      <c r="AB602" s="139" t="s">
        <v>2829</v>
      </c>
    </row>
    <row r="603" spans="27:28" hidden="1">
      <c r="AA603" s="139" t="s">
        <v>2830</v>
      </c>
      <c r="AB603" s="139" t="s">
        <v>2831</v>
      </c>
    </row>
    <row r="604" spans="27:28" hidden="1">
      <c r="AA604" s="139" t="s">
        <v>2832</v>
      </c>
      <c r="AB604" s="139" t="s">
        <v>2833</v>
      </c>
    </row>
    <row r="605" spans="27:28" hidden="1">
      <c r="AA605" s="139" t="s">
        <v>2834</v>
      </c>
      <c r="AB605" s="139" t="s">
        <v>2835</v>
      </c>
    </row>
    <row r="606" spans="27:28" hidden="1">
      <c r="AA606" s="139" t="s">
        <v>2836</v>
      </c>
      <c r="AB606" s="139" t="s">
        <v>2837</v>
      </c>
    </row>
    <row r="607" spans="27:28" hidden="1">
      <c r="AA607" s="139" t="s">
        <v>2838</v>
      </c>
      <c r="AB607" s="139" t="s">
        <v>2839</v>
      </c>
    </row>
    <row r="608" spans="27:28" hidden="1">
      <c r="AA608" s="139" t="s">
        <v>2840</v>
      </c>
      <c r="AB608" s="139" t="s">
        <v>2841</v>
      </c>
    </row>
    <row r="609" spans="27:28" hidden="1">
      <c r="AA609" s="139" t="s">
        <v>2842</v>
      </c>
      <c r="AB609" s="139" t="s">
        <v>2843</v>
      </c>
    </row>
    <row r="610" spans="27:28" hidden="1">
      <c r="AA610" s="139" t="s">
        <v>2844</v>
      </c>
      <c r="AB610" s="139" t="s">
        <v>2845</v>
      </c>
    </row>
    <row r="611" spans="27:28" hidden="1">
      <c r="AA611" s="139" t="s">
        <v>2846</v>
      </c>
      <c r="AB611" s="139" t="s">
        <v>2847</v>
      </c>
    </row>
    <row r="612" spans="27:28" hidden="1">
      <c r="AA612" s="139" t="s">
        <v>2848</v>
      </c>
      <c r="AB612" s="139" t="s">
        <v>2849</v>
      </c>
    </row>
    <row r="613" spans="27:28" hidden="1">
      <c r="AA613" s="139" t="s">
        <v>2850</v>
      </c>
      <c r="AB613" s="139" t="s">
        <v>2851</v>
      </c>
    </row>
    <row r="614" spans="27:28" hidden="1">
      <c r="AA614" s="139" t="s">
        <v>2852</v>
      </c>
      <c r="AB614" s="139" t="s">
        <v>2853</v>
      </c>
    </row>
    <row r="615" spans="27:28" hidden="1">
      <c r="AA615" s="139" t="s">
        <v>2854</v>
      </c>
      <c r="AB615" s="139" t="s">
        <v>2855</v>
      </c>
    </row>
    <row r="616" spans="27:28" hidden="1">
      <c r="AA616" s="139" t="s">
        <v>2856</v>
      </c>
      <c r="AB616" s="139" t="s">
        <v>2857</v>
      </c>
    </row>
    <row r="617" spans="27:28" hidden="1">
      <c r="AA617" s="139" t="s">
        <v>2858</v>
      </c>
      <c r="AB617" s="139" t="s">
        <v>2859</v>
      </c>
    </row>
    <row r="618" spans="27:28" hidden="1">
      <c r="AA618" s="139" t="s">
        <v>2860</v>
      </c>
      <c r="AB618" s="139" t="s">
        <v>2861</v>
      </c>
    </row>
    <row r="619" spans="27:28" hidden="1">
      <c r="AA619" s="139" t="s">
        <v>2862</v>
      </c>
      <c r="AB619" s="139" t="s">
        <v>2863</v>
      </c>
    </row>
    <row r="620" spans="27:28" hidden="1">
      <c r="AA620" s="139" t="s">
        <v>2864</v>
      </c>
      <c r="AB620" s="139" t="s">
        <v>2865</v>
      </c>
    </row>
    <row r="621" spans="27:28" hidden="1">
      <c r="AA621" s="139" t="s">
        <v>2866</v>
      </c>
      <c r="AB621" s="139" t="s">
        <v>2867</v>
      </c>
    </row>
    <row r="622" spans="27:28" hidden="1">
      <c r="AA622" s="139" t="s">
        <v>2868</v>
      </c>
      <c r="AB622" s="139" t="s">
        <v>2869</v>
      </c>
    </row>
    <row r="623" spans="27:28" hidden="1">
      <c r="AA623" s="139" t="s">
        <v>2870</v>
      </c>
      <c r="AB623" s="139" t="s">
        <v>2871</v>
      </c>
    </row>
    <row r="624" spans="27:28" hidden="1">
      <c r="AA624" s="139" t="s">
        <v>2872</v>
      </c>
      <c r="AB624" s="139" t="s">
        <v>2873</v>
      </c>
    </row>
    <row r="625" spans="27:28" hidden="1">
      <c r="AA625" s="139" t="s">
        <v>2874</v>
      </c>
      <c r="AB625" s="139" t="s">
        <v>2875</v>
      </c>
    </row>
    <row r="626" spans="27:28" hidden="1">
      <c r="AA626" s="139" t="s">
        <v>2876</v>
      </c>
      <c r="AB626" s="139" t="s">
        <v>2877</v>
      </c>
    </row>
    <row r="627" spans="27:28" hidden="1">
      <c r="AA627" s="139" t="s">
        <v>2878</v>
      </c>
      <c r="AB627" s="139" t="s">
        <v>2879</v>
      </c>
    </row>
    <row r="628" spans="27:28" hidden="1">
      <c r="AA628" s="139" t="s">
        <v>2880</v>
      </c>
      <c r="AB628" s="139" t="s">
        <v>2881</v>
      </c>
    </row>
    <row r="629" spans="27:28" hidden="1">
      <c r="AA629" s="139" t="s">
        <v>2882</v>
      </c>
      <c r="AB629" s="139" t="s">
        <v>2883</v>
      </c>
    </row>
    <row r="630" spans="27:28" hidden="1">
      <c r="AA630" s="139" t="s">
        <v>2884</v>
      </c>
      <c r="AB630" s="139" t="s">
        <v>2885</v>
      </c>
    </row>
    <row r="631" spans="27:28" hidden="1">
      <c r="AA631" s="139" t="s">
        <v>2886</v>
      </c>
      <c r="AB631" s="139" t="s">
        <v>2887</v>
      </c>
    </row>
    <row r="632" spans="27:28" hidden="1">
      <c r="AA632" s="139" t="s">
        <v>2888</v>
      </c>
      <c r="AB632" s="139" t="s">
        <v>2889</v>
      </c>
    </row>
    <row r="633" spans="27:28" hidden="1">
      <c r="AA633" s="139" t="s">
        <v>2890</v>
      </c>
      <c r="AB633" s="139" t="s">
        <v>2891</v>
      </c>
    </row>
    <row r="634" spans="27:28" hidden="1">
      <c r="AA634" s="139" t="s">
        <v>2892</v>
      </c>
      <c r="AB634" s="139" t="s">
        <v>2893</v>
      </c>
    </row>
    <row r="635" spans="27:28" hidden="1">
      <c r="AA635" s="139" t="s">
        <v>2894</v>
      </c>
      <c r="AB635" s="139" t="s">
        <v>2895</v>
      </c>
    </row>
    <row r="636" spans="27:28" hidden="1">
      <c r="AA636" s="139" t="s">
        <v>2896</v>
      </c>
      <c r="AB636" s="139" t="s">
        <v>2897</v>
      </c>
    </row>
    <row r="637" spans="27:28" hidden="1">
      <c r="AA637" s="139" t="s">
        <v>2898</v>
      </c>
      <c r="AB637" s="139" t="s">
        <v>2899</v>
      </c>
    </row>
    <row r="638" spans="27:28" hidden="1">
      <c r="AA638" s="139" t="s">
        <v>2900</v>
      </c>
      <c r="AB638" s="139" t="s">
        <v>2901</v>
      </c>
    </row>
    <row r="639" spans="27:28" hidden="1">
      <c r="AA639" s="139" t="s">
        <v>2902</v>
      </c>
      <c r="AB639" s="139" t="s">
        <v>2903</v>
      </c>
    </row>
    <row r="640" spans="27:28" hidden="1">
      <c r="AA640" s="139" t="s">
        <v>2904</v>
      </c>
      <c r="AB640" s="139" t="s">
        <v>2905</v>
      </c>
    </row>
    <row r="641" spans="27:28" hidden="1">
      <c r="AA641" s="139" t="s">
        <v>2906</v>
      </c>
      <c r="AB641" s="139" t="s">
        <v>2907</v>
      </c>
    </row>
    <row r="642" spans="27:28" hidden="1">
      <c r="AA642" s="139" t="s">
        <v>2908</v>
      </c>
      <c r="AB642" s="139" t="s">
        <v>2909</v>
      </c>
    </row>
    <row r="643" spans="27:28" hidden="1">
      <c r="AA643" s="139" t="s">
        <v>2910</v>
      </c>
      <c r="AB643" s="139" t="s">
        <v>2911</v>
      </c>
    </row>
    <row r="644" spans="27:28" hidden="1">
      <c r="AA644" s="139" t="s">
        <v>2912</v>
      </c>
      <c r="AB644" s="139" t="s">
        <v>2913</v>
      </c>
    </row>
    <row r="645" spans="27:28" hidden="1">
      <c r="AA645" s="139" t="s">
        <v>2914</v>
      </c>
      <c r="AB645" s="139" t="s">
        <v>2915</v>
      </c>
    </row>
    <row r="646" spans="27:28" hidden="1">
      <c r="AA646" s="139" t="s">
        <v>2916</v>
      </c>
      <c r="AB646" s="139" t="s">
        <v>2917</v>
      </c>
    </row>
    <row r="647" spans="27:28" hidden="1">
      <c r="AA647" s="139" t="s">
        <v>2918</v>
      </c>
      <c r="AB647" s="139" t="s">
        <v>2919</v>
      </c>
    </row>
    <row r="648" spans="27:28" hidden="1">
      <c r="AA648" s="139" t="s">
        <v>2920</v>
      </c>
      <c r="AB648" s="139" t="s">
        <v>2921</v>
      </c>
    </row>
    <row r="649" spans="27:28" hidden="1">
      <c r="AA649" s="139" t="s">
        <v>2922</v>
      </c>
      <c r="AB649" s="139" t="s">
        <v>2923</v>
      </c>
    </row>
    <row r="650" spans="27:28" hidden="1">
      <c r="AA650" s="139" t="s">
        <v>2924</v>
      </c>
      <c r="AB650" s="139" t="s">
        <v>2925</v>
      </c>
    </row>
    <row r="651" spans="27:28" hidden="1">
      <c r="AA651" s="139" t="s">
        <v>2926</v>
      </c>
      <c r="AB651" s="139" t="s">
        <v>2927</v>
      </c>
    </row>
    <row r="652" spans="27:28" hidden="1">
      <c r="AA652" s="139" t="s">
        <v>2928</v>
      </c>
      <c r="AB652" s="139" t="s">
        <v>2929</v>
      </c>
    </row>
    <row r="653" spans="27:28" hidden="1">
      <c r="AA653" s="139" t="s">
        <v>2930</v>
      </c>
      <c r="AB653" s="139" t="s">
        <v>2931</v>
      </c>
    </row>
    <row r="654" spans="27:28" hidden="1">
      <c r="AA654" s="139" t="s">
        <v>2932</v>
      </c>
      <c r="AB654" s="139" t="s">
        <v>2933</v>
      </c>
    </row>
    <row r="655" spans="27:28" hidden="1">
      <c r="AA655" s="139" t="s">
        <v>2934</v>
      </c>
      <c r="AB655" s="139" t="s">
        <v>2935</v>
      </c>
    </row>
    <row r="656" spans="27:28" hidden="1">
      <c r="AA656" s="139" t="s">
        <v>2936</v>
      </c>
      <c r="AB656" s="139" t="s">
        <v>2937</v>
      </c>
    </row>
    <row r="657" spans="27:28" hidden="1">
      <c r="AA657" s="139" t="s">
        <v>2938</v>
      </c>
      <c r="AB657" s="139" t="s">
        <v>2939</v>
      </c>
    </row>
    <row r="658" spans="27:28" hidden="1">
      <c r="AA658" s="139" t="s">
        <v>2940</v>
      </c>
      <c r="AB658" s="139" t="s">
        <v>2941</v>
      </c>
    </row>
    <row r="659" spans="27:28" hidden="1">
      <c r="AA659" s="139" t="s">
        <v>2942</v>
      </c>
      <c r="AB659" s="139" t="s">
        <v>2943</v>
      </c>
    </row>
    <row r="660" spans="27:28" hidden="1">
      <c r="AA660" s="139" t="s">
        <v>2944</v>
      </c>
      <c r="AB660" s="139" t="s">
        <v>2945</v>
      </c>
    </row>
    <row r="661" spans="27:28" hidden="1">
      <c r="AA661" s="139" t="s">
        <v>2946</v>
      </c>
      <c r="AB661" s="139" t="s">
        <v>2947</v>
      </c>
    </row>
    <row r="662" spans="27:28" hidden="1">
      <c r="AA662" s="139" t="s">
        <v>2948</v>
      </c>
      <c r="AB662" s="139" t="s">
        <v>2949</v>
      </c>
    </row>
    <row r="663" spans="27:28" hidden="1">
      <c r="AA663" s="139" t="s">
        <v>2950</v>
      </c>
      <c r="AB663" s="139" t="s">
        <v>2951</v>
      </c>
    </row>
    <row r="664" spans="27:28" hidden="1">
      <c r="AA664" s="139" t="s">
        <v>2952</v>
      </c>
      <c r="AB664" s="139" t="s">
        <v>2953</v>
      </c>
    </row>
    <row r="665" spans="27:28" hidden="1">
      <c r="AA665" s="139" t="s">
        <v>2954</v>
      </c>
      <c r="AB665" s="139" t="s">
        <v>2955</v>
      </c>
    </row>
    <row r="666" spans="27:28" hidden="1">
      <c r="AA666" s="139" t="s">
        <v>2956</v>
      </c>
      <c r="AB666" s="139" t="s">
        <v>2957</v>
      </c>
    </row>
    <row r="667" spans="27:28" hidden="1">
      <c r="AA667" s="139" t="s">
        <v>2958</v>
      </c>
      <c r="AB667" s="139" t="s">
        <v>2959</v>
      </c>
    </row>
    <row r="668" spans="27:28" hidden="1">
      <c r="AA668" s="139" t="s">
        <v>2960</v>
      </c>
      <c r="AB668" s="139" t="s">
        <v>2961</v>
      </c>
    </row>
    <row r="669" spans="27:28" hidden="1">
      <c r="AA669" s="139" t="s">
        <v>2962</v>
      </c>
      <c r="AB669" s="139" t="s">
        <v>2963</v>
      </c>
    </row>
    <row r="670" spans="27:28" hidden="1">
      <c r="AA670" s="139" t="s">
        <v>2964</v>
      </c>
      <c r="AB670" s="139" t="s">
        <v>2965</v>
      </c>
    </row>
    <row r="671" spans="27:28" hidden="1">
      <c r="AA671" s="139" t="s">
        <v>2966</v>
      </c>
      <c r="AB671" s="139" t="s">
        <v>2967</v>
      </c>
    </row>
    <row r="672" spans="27:28" hidden="1">
      <c r="AA672" s="139" t="s">
        <v>2968</v>
      </c>
      <c r="AB672" s="139" t="s">
        <v>2969</v>
      </c>
    </row>
    <row r="673" spans="27:28" hidden="1">
      <c r="AA673" s="139" t="s">
        <v>2970</v>
      </c>
      <c r="AB673" s="139" t="s">
        <v>2971</v>
      </c>
    </row>
    <row r="674" spans="27:28" hidden="1">
      <c r="AA674" s="139" t="s">
        <v>2972</v>
      </c>
      <c r="AB674" s="139" t="s">
        <v>2973</v>
      </c>
    </row>
    <row r="675" spans="27:28" hidden="1">
      <c r="AA675" s="139" t="s">
        <v>2974</v>
      </c>
      <c r="AB675" s="139" t="s">
        <v>2975</v>
      </c>
    </row>
    <row r="676" spans="27:28" hidden="1">
      <c r="AA676" s="139" t="s">
        <v>2976</v>
      </c>
      <c r="AB676" s="139" t="s">
        <v>2977</v>
      </c>
    </row>
    <row r="677" spans="27:28" hidden="1">
      <c r="AA677" s="139" t="s">
        <v>2978</v>
      </c>
      <c r="AB677" s="139" t="s">
        <v>2979</v>
      </c>
    </row>
    <row r="678" spans="27:28" hidden="1">
      <c r="AA678" s="139" t="s">
        <v>2980</v>
      </c>
      <c r="AB678" s="139" t="s">
        <v>2981</v>
      </c>
    </row>
    <row r="679" spans="27:28" hidden="1">
      <c r="AA679" s="139" t="s">
        <v>2982</v>
      </c>
      <c r="AB679" s="139" t="s">
        <v>2983</v>
      </c>
    </row>
    <row r="680" spans="27:28" hidden="1">
      <c r="AA680" s="139" t="s">
        <v>2984</v>
      </c>
      <c r="AB680" s="139" t="s">
        <v>2985</v>
      </c>
    </row>
    <row r="681" spans="27:28" hidden="1">
      <c r="AA681" s="139" t="s">
        <v>2986</v>
      </c>
      <c r="AB681" s="139" t="s">
        <v>2987</v>
      </c>
    </row>
    <row r="682" spans="27:28" hidden="1">
      <c r="AA682" s="139" t="s">
        <v>2988</v>
      </c>
      <c r="AB682" s="139" t="s">
        <v>2989</v>
      </c>
    </row>
    <row r="683" spans="27:28" hidden="1">
      <c r="AA683" s="139" t="s">
        <v>2990</v>
      </c>
      <c r="AB683" s="139" t="s">
        <v>2991</v>
      </c>
    </row>
    <row r="684" spans="27:28" hidden="1">
      <c r="AA684" s="139" t="s">
        <v>2992</v>
      </c>
      <c r="AB684" s="139" t="s">
        <v>2993</v>
      </c>
    </row>
    <row r="685" spans="27:28" hidden="1">
      <c r="AA685" s="139" t="s">
        <v>2994</v>
      </c>
      <c r="AB685" s="139" t="s">
        <v>2995</v>
      </c>
    </row>
    <row r="686" spans="27:28" hidden="1">
      <c r="AA686" s="139" t="s">
        <v>2996</v>
      </c>
      <c r="AB686" s="139" t="s">
        <v>2997</v>
      </c>
    </row>
    <row r="687" spans="27:28" hidden="1">
      <c r="AA687" s="139" t="s">
        <v>2998</v>
      </c>
      <c r="AB687" s="139" t="s">
        <v>2999</v>
      </c>
    </row>
    <row r="688" spans="27:28" hidden="1">
      <c r="AA688" s="139" t="s">
        <v>3000</v>
      </c>
      <c r="AB688" s="139" t="s">
        <v>3001</v>
      </c>
    </row>
    <row r="689" spans="27:28" hidden="1">
      <c r="AA689" s="139" t="s">
        <v>3002</v>
      </c>
      <c r="AB689" s="139" t="s">
        <v>3003</v>
      </c>
    </row>
    <row r="690" spans="27:28" hidden="1">
      <c r="AA690" s="139" t="s">
        <v>3004</v>
      </c>
      <c r="AB690" s="139" t="s">
        <v>3005</v>
      </c>
    </row>
    <row r="691" spans="27:28" hidden="1">
      <c r="AA691" s="139" t="s">
        <v>3006</v>
      </c>
      <c r="AB691" s="139" t="s">
        <v>3007</v>
      </c>
    </row>
    <row r="692" spans="27:28" hidden="1">
      <c r="AA692" s="139" t="s">
        <v>3008</v>
      </c>
      <c r="AB692" s="139" t="s">
        <v>3009</v>
      </c>
    </row>
    <row r="693" spans="27:28" hidden="1">
      <c r="AA693" s="139" t="s">
        <v>3010</v>
      </c>
      <c r="AB693" s="139" t="s">
        <v>3011</v>
      </c>
    </row>
    <row r="694" spans="27:28" hidden="1">
      <c r="AA694" s="139" t="s">
        <v>3012</v>
      </c>
      <c r="AB694" s="139" t="s">
        <v>3013</v>
      </c>
    </row>
    <row r="695" spans="27:28" hidden="1">
      <c r="AA695" s="139" t="s">
        <v>3014</v>
      </c>
      <c r="AB695" s="139" t="s">
        <v>3015</v>
      </c>
    </row>
    <row r="696" spans="27:28" hidden="1">
      <c r="AA696" s="139" t="s">
        <v>3016</v>
      </c>
      <c r="AB696" s="139" t="s">
        <v>3017</v>
      </c>
    </row>
    <row r="697" spans="27:28" hidden="1">
      <c r="AA697" s="139" t="s">
        <v>3018</v>
      </c>
      <c r="AB697" s="139" t="s">
        <v>3019</v>
      </c>
    </row>
    <row r="698" spans="27:28" hidden="1">
      <c r="AA698" s="139" t="s">
        <v>3020</v>
      </c>
      <c r="AB698" s="139" t="s">
        <v>3021</v>
      </c>
    </row>
    <row r="699" spans="27:28" hidden="1">
      <c r="AA699" s="139" t="s">
        <v>3022</v>
      </c>
      <c r="AB699" s="139" t="s">
        <v>3023</v>
      </c>
    </row>
    <row r="700" spans="27:28" hidden="1">
      <c r="AA700" s="139" t="s">
        <v>3024</v>
      </c>
      <c r="AB700" s="139" t="s">
        <v>3025</v>
      </c>
    </row>
    <row r="701" spans="27:28" hidden="1">
      <c r="AA701" s="139" t="s">
        <v>3026</v>
      </c>
      <c r="AB701" s="139" t="s">
        <v>3027</v>
      </c>
    </row>
    <row r="702" spans="27:28" hidden="1">
      <c r="AA702" s="139" t="s">
        <v>3028</v>
      </c>
      <c r="AB702" s="139" t="s">
        <v>3029</v>
      </c>
    </row>
    <row r="703" spans="27:28" hidden="1">
      <c r="AA703" s="139" t="s">
        <v>3030</v>
      </c>
      <c r="AB703" s="139" t="s">
        <v>3031</v>
      </c>
    </row>
    <row r="704" spans="27:28" hidden="1">
      <c r="AA704" s="139" t="s">
        <v>3032</v>
      </c>
      <c r="AB704" s="139" t="s">
        <v>3033</v>
      </c>
    </row>
    <row r="705" spans="27:28" hidden="1">
      <c r="AA705" s="139" t="s">
        <v>3034</v>
      </c>
      <c r="AB705" s="139" t="s">
        <v>3035</v>
      </c>
    </row>
    <row r="706" spans="27:28" hidden="1">
      <c r="AA706" s="139" t="s">
        <v>3036</v>
      </c>
      <c r="AB706" s="139" t="s">
        <v>3037</v>
      </c>
    </row>
    <row r="707" spans="27:28" hidden="1">
      <c r="AA707" s="139" t="s">
        <v>3038</v>
      </c>
      <c r="AB707" s="139" t="s">
        <v>3039</v>
      </c>
    </row>
    <row r="708" spans="27:28" hidden="1">
      <c r="AA708" s="139" t="s">
        <v>3040</v>
      </c>
      <c r="AB708" s="139" t="s">
        <v>3041</v>
      </c>
    </row>
    <row r="709" spans="27:28" hidden="1">
      <c r="AA709" s="139" t="s">
        <v>3042</v>
      </c>
      <c r="AB709" s="139" t="s">
        <v>3043</v>
      </c>
    </row>
    <row r="710" spans="27:28" hidden="1">
      <c r="AA710" s="139" t="s">
        <v>3044</v>
      </c>
      <c r="AB710" s="139" t="s">
        <v>3045</v>
      </c>
    </row>
    <row r="711" spans="27:28" hidden="1">
      <c r="AA711" s="139" t="s">
        <v>3046</v>
      </c>
      <c r="AB711" s="139" t="s">
        <v>3047</v>
      </c>
    </row>
    <row r="712" spans="27:28" hidden="1">
      <c r="AA712" s="139" t="s">
        <v>3048</v>
      </c>
      <c r="AB712" s="139" t="s">
        <v>3049</v>
      </c>
    </row>
    <row r="713" spans="27:28" hidden="1">
      <c r="AA713" s="139" t="s">
        <v>3050</v>
      </c>
      <c r="AB713" s="139" t="s">
        <v>3051</v>
      </c>
    </row>
    <row r="714" spans="27:28" hidden="1">
      <c r="AA714" s="139" t="s">
        <v>3052</v>
      </c>
      <c r="AB714" s="139" t="s">
        <v>3053</v>
      </c>
    </row>
    <row r="715" spans="27:28" hidden="1">
      <c r="AA715" s="139" t="s">
        <v>3054</v>
      </c>
      <c r="AB715" s="139" t="s">
        <v>3055</v>
      </c>
    </row>
    <row r="716" spans="27:28" hidden="1">
      <c r="AA716" s="139" t="s">
        <v>3056</v>
      </c>
      <c r="AB716" s="139" t="s">
        <v>3057</v>
      </c>
    </row>
    <row r="717" spans="27:28" hidden="1">
      <c r="AA717" s="139" t="s">
        <v>3058</v>
      </c>
      <c r="AB717" s="139" t="s">
        <v>3059</v>
      </c>
    </row>
    <row r="718" spans="27:28" hidden="1">
      <c r="AA718" s="139" t="s">
        <v>3060</v>
      </c>
      <c r="AB718" s="139" t="s">
        <v>3061</v>
      </c>
    </row>
    <row r="719" spans="27:28" hidden="1">
      <c r="AA719" s="139" t="s">
        <v>3062</v>
      </c>
      <c r="AB719" s="139" t="s">
        <v>3063</v>
      </c>
    </row>
    <row r="720" spans="27:28" hidden="1">
      <c r="AA720" s="139" t="s">
        <v>3064</v>
      </c>
      <c r="AB720" s="139" t="s">
        <v>3065</v>
      </c>
    </row>
    <row r="721" spans="27:28" hidden="1">
      <c r="AA721" s="139" t="s">
        <v>3066</v>
      </c>
      <c r="AB721" s="139" t="s">
        <v>3067</v>
      </c>
    </row>
    <row r="722" spans="27:28" hidden="1">
      <c r="AA722" s="139" t="s">
        <v>3068</v>
      </c>
      <c r="AB722" s="139" t="s">
        <v>3069</v>
      </c>
    </row>
    <row r="723" spans="27:28" hidden="1">
      <c r="AA723" s="139" t="s">
        <v>3070</v>
      </c>
      <c r="AB723" s="139" t="s">
        <v>3071</v>
      </c>
    </row>
    <row r="724" spans="27:28" hidden="1">
      <c r="AA724" s="139" t="s">
        <v>3072</v>
      </c>
      <c r="AB724" s="139" t="s">
        <v>3073</v>
      </c>
    </row>
    <row r="725" spans="27:28" hidden="1">
      <c r="AA725" s="139" t="s">
        <v>3074</v>
      </c>
      <c r="AB725" s="139" t="s">
        <v>3075</v>
      </c>
    </row>
    <row r="726" spans="27:28" hidden="1">
      <c r="AA726" s="139" t="s">
        <v>3076</v>
      </c>
      <c r="AB726" s="139" t="s">
        <v>3077</v>
      </c>
    </row>
    <row r="727" spans="27:28" hidden="1">
      <c r="AA727" s="139" t="s">
        <v>3078</v>
      </c>
      <c r="AB727" s="139" t="s">
        <v>3079</v>
      </c>
    </row>
    <row r="728" spans="27:28" hidden="1">
      <c r="AA728" s="139" t="s">
        <v>3080</v>
      </c>
      <c r="AB728" s="139" t="s">
        <v>3081</v>
      </c>
    </row>
    <row r="729" spans="27:28" hidden="1">
      <c r="AA729" s="139" t="s">
        <v>3082</v>
      </c>
      <c r="AB729" s="139" t="s">
        <v>3083</v>
      </c>
    </row>
    <row r="730" spans="27:28" hidden="1">
      <c r="AA730" s="139" t="s">
        <v>3084</v>
      </c>
      <c r="AB730" s="139" t="s">
        <v>3085</v>
      </c>
    </row>
    <row r="731" spans="27:28" hidden="1">
      <c r="AA731" s="139" t="s">
        <v>3086</v>
      </c>
      <c r="AB731" s="139" t="s">
        <v>3087</v>
      </c>
    </row>
    <row r="732" spans="27:28" hidden="1">
      <c r="AA732" s="139" t="s">
        <v>3088</v>
      </c>
      <c r="AB732" s="139" t="s">
        <v>3089</v>
      </c>
    </row>
    <row r="733" spans="27:28" hidden="1">
      <c r="AA733" s="139" t="s">
        <v>3090</v>
      </c>
      <c r="AB733" s="139" t="s">
        <v>3091</v>
      </c>
    </row>
    <row r="734" spans="27:28" hidden="1">
      <c r="AA734" s="139" t="s">
        <v>3092</v>
      </c>
      <c r="AB734" s="139" t="s">
        <v>3093</v>
      </c>
    </row>
    <row r="735" spans="27:28" hidden="1">
      <c r="AA735" s="139" t="s">
        <v>3094</v>
      </c>
      <c r="AB735" s="139" t="s">
        <v>3095</v>
      </c>
    </row>
    <row r="736" spans="27:28" hidden="1">
      <c r="AA736" s="139" t="s">
        <v>3096</v>
      </c>
      <c r="AB736" s="139" t="s">
        <v>3097</v>
      </c>
    </row>
    <row r="737" spans="27:28" hidden="1">
      <c r="AA737" s="139" t="s">
        <v>3098</v>
      </c>
      <c r="AB737" s="139" t="s">
        <v>3099</v>
      </c>
    </row>
    <row r="738" spans="27:28" hidden="1">
      <c r="AA738" s="139" t="s">
        <v>3100</v>
      </c>
      <c r="AB738" s="139" t="s">
        <v>3101</v>
      </c>
    </row>
    <row r="739" spans="27:28" hidden="1">
      <c r="AA739" s="139" t="s">
        <v>3102</v>
      </c>
      <c r="AB739" s="139" t="s">
        <v>3103</v>
      </c>
    </row>
    <row r="740" spans="27:28" hidden="1">
      <c r="AA740" s="139" t="s">
        <v>3104</v>
      </c>
      <c r="AB740" s="139" t="s">
        <v>3105</v>
      </c>
    </row>
    <row r="741" spans="27:28" hidden="1">
      <c r="AA741" s="139" t="s">
        <v>3106</v>
      </c>
      <c r="AB741" s="139" t="s">
        <v>3107</v>
      </c>
    </row>
    <row r="742" spans="27:28" hidden="1">
      <c r="AA742" s="139" t="s">
        <v>3108</v>
      </c>
      <c r="AB742" s="139" t="s">
        <v>3109</v>
      </c>
    </row>
    <row r="743" spans="27:28" hidden="1">
      <c r="AA743" s="139" t="s">
        <v>3110</v>
      </c>
      <c r="AB743" s="139" t="s">
        <v>3111</v>
      </c>
    </row>
    <row r="744" spans="27:28" hidden="1">
      <c r="AA744" s="139" t="s">
        <v>3112</v>
      </c>
      <c r="AB744" s="139" t="s">
        <v>3113</v>
      </c>
    </row>
    <row r="745" spans="27:28" hidden="1">
      <c r="AA745" s="139" t="s">
        <v>3114</v>
      </c>
      <c r="AB745" s="139" t="s">
        <v>3115</v>
      </c>
    </row>
    <row r="746" spans="27:28" hidden="1">
      <c r="AA746" s="139" t="s">
        <v>3116</v>
      </c>
      <c r="AB746" s="139" t="s">
        <v>3117</v>
      </c>
    </row>
    <row r="747" spans="27:28" hidden="1">
      <c r="AA747" s="139" t="s">
        <v>3118</v>
      </c>
      <c r="AB747" s="139" t="s">
        <v>3119</v>
      </c>
    </row>
    <row r="748" spans="27:28" hidden="1">
      <c r="AA748" s="139" t="s">
        <v>3120</v>
      </c>
      <c r="AB748" s="139" t="s">
        <v>3121</v>
      </c>
    </row>
    <row r="749" spans="27:28" hidden="1">
      <c r="AA749" s="139" t="s">
        <v>3122</v>
      </c>
      <c r="AB749" s="139" t="s">
        <v>3123</v>
      </c>
    </row>
    <row r="750" spans="27:28" hidden="1">
      <c r="AA750" s="139" t="s">
        <v>3124</v>
      </c>
      <c r="AB750" s="139" t="s">
        <v>3125</v>
      </c>
    </row>
    <row r="751" spans="27:28" hidden="1">
      <c r="AA751" s="139" t="s">
        <v>3126</v>
      </c>
      <c r="AB751" s="139" t="s">
        <v>3127</v>
      </c>
    </row>
    <row r="752" spans="27:28" hidden="1">
      <c r="AA752" s="139" t="s">
        <v>3128</v>
      </c>
      <c r="AB752" s="139" t="s">
        <v>3129</v>
      </c>
    </row>
    <row r="753" spans="27:28" hidden="1">
      <c r="AA753" s="139" t="s">
        <v>3130</v>
      </c>
      <c r="AB753" s="139" t="s">
        <v>3131</v>
      </c>
    </row>
    <row r="754" spans="27:28" hidden="1">
      <c r="AA754" s="139" t="s">
        <v>3132</v>
      </c>
      <c r="AB754" s="139" t="s">
        <v>3133</v>
      </c>
    </row>
    <row r="755" spans="27:28" hidden="1">
      <c r="AA755" s="139" t="s">
        <v>3134</v>
      </c>
      <c r="AB755" s="139" t="s">
        <v>3135</v>
      </c>
    </row>
    <row r="756" spans="27:28" hidden="1">
      <c r="AA756" s="139" t="s">
        <v>3136</v>
      </c>
      <c r="AB756" s="139" t="s">
        <v>3137</v>
      </c>
    </row>
    <row r="757" spans="27:28" hidden="1">
      <c r="AA757" s="139" t="s">
        <v>3138</v>
      </c>
      <c r="AB757" s="139" t="s">
        <v>3139</v>
      </c>
    </row>
    <row r="758" spans="27:28" hidden="1">
      <c r="AA758" s="139" t="s">
        <v>3140</v>
      </c>
      <c r="AB758" s="139" t="s">
        <v>3141</v>
      </c>
    </row>
    <row r="759" spans="27:28" hidden="1">
      <c r="AA759" s="139" t="s">
        <v>3142</v>
      </c>
      <c r="AB759" s="139" t="s">
        <v>3143</v>
      </c>
    </row>
    <row r="760" spans="27:28" hidden="1">
      <c r="AA760" s="139" t="s">
        <v>3144</v>
      </c>
      <c r="AB760" s="139" t="s">
        <v>3145</v>
      </c>
    </row>
    <row r="761" spans="27:28" hidden="1">
      <c r="AA761" s="139" t="s">
        <v>3146</v>
      </c>
      <c r="AB761" s="139" t="s">
        <v>3147</v>
      </c>
    </row>
    <row r="762" spans="27:28" hidden="1">
      <c r="AA762" s="139" t="s">
        <v>3148</v>
      </c>
      <c r="AB762" s="139" t="s">
        <v>3149</v>
      </c>
    </row>
    <row r="763" spans="27:28" hidden="1">
      <c r="AA763" s="139" t="s">
        <v>3150</v>
      </c>
      <c r="AB763" s="139" t="s">
        <v>3151</v>
      </c>
    </row>
    <row r="764" spans="27:28" hidden="1">
      <c r="AA764" s="139" t="s">
        <v>3152</v>
      </c>
      <c r="AB764" s="139" t="s">
        <v>3153</v>
      </c>
    </row>
    <row r="765" spans="27:28" hidden="1">
      <c r="AA765" s="139" t="s">
        <v>3154</v>
      </c>
      <c r="AB765" s="139" t="s">
        <v>3155</v>
      </c>
    </row>
    <row r="766" spans="27:28" hidden="1">
      <c r="AA766" s="139" t="s">
        <v>3156</v>
      </c>
      <c r="AB766" s="139" t="s">
        <v>3157</v>
      </c>
    </row>
    <row r="767" spans="27:28" hidden="1">
      <c r="AA767" s="139" t="s">
        <v>3158</v>
      </c>
      <c r="AB767" s="139" t="s">
        <v>3159</v>
      </c>
    </row>
    <row r="768" spans="27:28" hidden="1">
      <c r="AA768" s="139" t="s">
        <v>3160</v>
      </c>
      <c r="AB768" s="139" t="s">
        <v>3161</v>
      </c>
    </row>
    <row r="769" spans="27:28" hidden="1">
      <c r="AA769" s="139" t="s">
        <v>3162</v>
      </c>
      <c r="AB769" s="139" t="s">
        <v>3163</v>
      </c>
    </row>
    <row r="770" spans="27:28" hidden="1">
      <c r="AA770" s="139" t="s">
        <v>3164</v>
      </c>
      <c r="AB770" s="139" t="s">
        <v>3165</v>
      </c>
    </row>
    <row r="771" spans="27:28" hidden="1">
      <c r="AA771" s="139" t="s">
        <v>3166</v>
      </c>
      <c r="AB771" s="139" t="s">
        <v>3167</v>
      </c>
    </row>
    <row r="772" spans="27:28" hidden="1">
      <c r="AA772" s="139" t="s">
        <v>3168</v>
      </c>
      <c r="AB772" s="139" t="s">
        <v>3169</v>
      </c>
    </row>
    <row r="773" spans="27:28" hidden="1">
      <c r="AA773" s="139" t="s">
        <v>3170</v>
      </c>
      <c r="AB773" s="139" t="s">
        <v>3171</v>
      </c>
    </row>
    <row r="774" spans="27:28" hidden="1">
      <c r="AA774" s="139" t="s">
        <v>3172</v>
      </c>
      <c r="AB774" s="139" t="s">
        <v>3173</v>
      </c>
    </row>
    <row r="775" spans="27:28" hidden="1">
      <c r="AA775" s="139" t="s">
        <v>3174</v>
      </c>
      <c r="AB775" s="139" t="s">
        <v>3175</v>
      </c>
    </row>
    <row r="776" spans="27:28" hidden="1">
      <c r="AA776" s="139" t="s">
        <v>3176</v>
      </c>
      <c r="AB776" s="139" t="s">
        <v>3177</v>
      </c>
    </row>
    <row r="777" spans="27:28" hidden="1">
      <c r="AA777" s="139" t="s">
        <v>3178</v>
      </c>
      <c r="AB777" s="139" t="s">
        <v>3179</v>
      </c>
    </row>
    <row r="778" spans="27:28" hidden="1">
      <c r="AA778" s="139" t="s">
        <v>3180</v>
      </c>
      <c r="AB778" s="139" t="s">
        <v>2551</v>
      </c>
    </row>
    <row r="779" spans="27:28" hidden="1">
      <c r="AA779" s="139" t="s">
        <v>3181</v>
      </c>
      <c r="AB779" s="139" t="s">
        <v>3182</v>
      </c>
    </row>
    <row r="780" spans="27:28" hidden="1">
      <c r="AA780" s="139" t="s">
        <v>3183</v>
      </c>
      <c r="AB780" s="139" t="s">
        <v>3184</v>
      </c>
    </row>
    <row r="781" spans="27:28" hidden="1">
      <c r="AA781" s="139" t="s">
        <v>3185</v>
      </c>
      <c r="AB781" s="139" t="s">
        <v>3186</v>
      </c>
    </row>
    <row r="782" spans="27:28" hidden="1">
      <c r="AA782" s="139" t="s">
        <v>3187</v>
      </c>
      <c r="AB782" s="139" t="s">
        <v>3188</v>
      </c>
    </row>
    <row r="783" spans="27:28" hidden="1">
      <c r="AA783" s="139" t="s">
        <v>3189</v>
      </c>
      <c r="AB783" s="139" t="s">
        <v>3190</v>
      </c>
    </row>
    <row r="784" spans="27:28" hidden="1">
      <c r="AA784" s="139" t="s">
        <v>3191</v>
      </c>
      <c r="AB784" s="139" t="s">
        <v>3192</v>
      </c>
    </row>
    <row r="785" spans="27:28" hidden="1">
      <c r="AA785" s="139" t="s">
        <v>3193</v>
      </c>
      <c r="AB785" s="139" t="s">
        <v>3194</v>
      </c>
    </row>
    <row r="786" spans="27:28" hidden="1">
      <c r="AA786" s="139" t="s">
        <v>3195</v>
      </c>
      <c r="AB786" s="139" t="s">
        <v>3196</v>
      </c>
    </row>
    <row r="787" spans="27:28" hidden="1">
      <c r="AA787" s="139" t="s">
        <v>3197</v>
      </c>
      <c r="AB787" s="139" t="s">
        <v>3198</v>
      </c>
    </row>
    <row r="788" spans="27:28" hidden="1">
      <c r="AA788" s="139" t="s">
        <v>3199</v>
      </c>
      <c r="AB788" s="139" t="s">
        <v>3200</v>
      </c>
    </row>
    <row r="789" spans="27:28" hidden="1">
      <c r="AA789" s="139" t="s">
        <v>3201</v>
      </c>
      <c r="AB789" s="139" t="s">
        <v>3202</v>
      </c>
    </row>
    <row r="790" spans="27:28" hidden="1">
      <c r="AA790" s="139" t="s">
        <v>3203</v>
      </c>
      <c r="AB790" s="139" t="s">
        <v>3204</v>
      </c>
    </row>
    <row r="791" spans="27:28" hidden="1">
      <c r="AA791" s="139" t="s">
        <v>3205</v>
      </c>
      <c r="AB791" s="139" t="s">
        <v>3206</v>
      </c>
    </row>
    <row r="792" spans="27:28" hidden="1">
      <c r="AA792" s="139" t="s">
        <v>3207</v>
      </c>
      <c r="AB792" s="139" t="s">
        <v>3208</v>
      </c>
    </row>
    <row r="793" spans="27:28" hidden="1">
      <c r="AA793" s="139" t="s">
        <v>3209</v>
      </c>
      <c r="AB793" s="139" t="s">
        <v>3210</v>
      </c>
    </row>
    <row r="794" spans="27:28" hidden="1">
      <c r="AA794" s="139" t="s">
        <v>3211</v>
      </c>
      <c r="AB794" s="139" t="s">
        <v>3212</v>
      </c>
    </row>
    <row r="795" spans="27:28" hidden="1">
      <c r="AA795" s="139" t="s">
        <v>3213</v>
      </c>
      <c r="AB795" s="139" t="s">
        <v>3214</v>
      </c>
    </row>
    <row r="796" spans="27:28" hidden="1">
      <c r="AA796" s="139" t="s">
        <v>3215</v>
      </c>
      <c r="AB796" s="139" t="s">
        <v>3216</v>
      </c>
    </row>
    <row r="797" spans="27:28" hidden="1">
      <c r="AA797" s="139" t="s">
        <v>3217</v>
      </c>
      <c r="AB797" s="139" t="s">
        <v>3218</v>
      </c>
    </row>
    <row r="798" spans="27:28" hidden="1">
      <c r="AA798" s="139" t="s">
        <v>3219</v>
      </c>
      <c r="AB798" s="139" t="s">
        <v>3220</v>
      </c>
    </row>
    <row r="799" spans="27:28" hidden="1">
      <c r="AA799" s="139" t="s">
        <v>3221</v>
      </c>
      <c r="AB799" s="139" t="s">
        <v>3222</v>
      </c>
    </row>
    <row r="800" spans="27:28" hidden="1">
      <c r="AA800" s="139" t="s">
        <v>3223</v>
      </c>
      <c r="AB800" s="139" t="s">
        <v>3224</v>
      </c>
    </row>
    <row r="801" spans="27:28" hidden="1">
      <c r="AA801" s="139" t="s">
        <v>3225</v>
      </c>
      <c r="AB801" s="139" t="s">
        <v>3226</v>
      </c>
    </row>
    <row r="802" spans="27:28" hidden="1">
      <c r="AA802" s="139" t="s">
        <v>3227</v>
      </c>
      <c r="AB802" s="139" t="s">
        <v>3228</v>
      </c>
    </row>
    <row r="803" spans="27:28" hidden="1">
      <c r="AA803" s="139" t="s">
        <v>3229</v>
      </c>
      <c r="AB803" s="139" t="s">
        <v>3230</v>
      </c>
    </row>
    <row r="804" spans="27:28" hidden="1">
      <c r="AA804" s="139" t="s">
        <v>3231</v>
      </c>
      <c r="AB804" s="139" t="s">
        <v>3232</v>
      </c>
    </row>
    <row r="805" spans="27:28" hidden="1">
      <c r="AA805" s="139" t="s">
        <v>3233</v>
      </c>
      <c r="AB805" s="139" t="s">
        <v>3234</v>
      </c>
    </row>
    <row r="806" spans="27:28" hidden="1">
      <c r="AA806" s="139" t="s">
        <v>3235</v>
      </c>
      <c r="AB806" s="139" t="s">
        <v>3236</v>
      </c>
    </row>
    <row r="807" spans="27:28" hidden="1">
      <c r="AA807" s="139" t="s">
        <v>3237</v>
      </c>
      <c r="AB807" s="139" t="s">
        <v>3238</v>
      </c>
    </row>
    <row r="808" spans="27:28" hidden="1">
      <c r="AA808" s="139" t="s">
        <v>3239</v>
      </c>
      <c r="AB808" s="139" t="s">
        <v>3240</v>
      </c>
    </row>
    <row r="809" spans="27:28" hidden="1">
      <c r="AA809" s="139" t="s">
        <v>3241</v>
      </c>
      <c r="AB809" s="139" t="s">
        <v>3242</v>
      </c>
    </row>
    <row r="810" spans="27:28" hidden="1">
      <c r="AA810" s="139" t="s">
        <v>3243</v>
      </c>
      <c r="AB810" s="139" t="s">
        <v>3244</v>
      </c>
    </row>
    <row r="811" spans="27:28" hidden="1">
      <c r="AA811" s="139" t="s">
        <v>3245</v>
      </c>
      <c r="AB811" s="139" t="s">
        <v>3246</v>
      </c>
    </row>
    <row r="812" spans="27:28" hidden="1">
      <c r="AA812" s="139" t="s">
        <v>3247</v>
      </c>
      <c r="AB812" s="139" t="s">
        <v>3248</v>
      </c>
    </row>
    <row r="813" spans="27:28" hidden="1">
      <c r="AA813" s="139" t="s">
        <v>3249</v>
      </c>
      <c r="AB813" s="139" t="s">
        <v>3250</v>
      </c>
    </row>
    <row r="814" spans="27:28" hidden="1">
      <c r="AA814" s="139" t="s">
        <v>3251</v>
      </c>
      <c r="AB814" s="139" t="s">
        <v>3252</v>
      </c>
    </row>
    <row r="815" spans="27:28" hidden="1">
      <c r="AA815" s="139" t="s">
        <v>3253</v>
      </c>
      <c r="AB815" s="139" t="s">
        <v>3254</v>
      </c>
    </row>
    <row r="816" spans="27:28" hidden="1">
      <c r="AA816" s="139" t="s">
        <v>3255</v>
      </c>
      <c r="AB816" s="139" t="s">
        <v>3256</v>
      </c>
    </row>
    <row r="817" spans="27:28" hidden="1">
      <c r="AA817" s="139" t="s">
        <v>3257</v>
      </c>
      <c r="AB817" s="139" t="s">
        <v>3258</v>
      </c>
    </row>
    <row r="818" spans="27:28" hidden="1">
      <c r="AA818" s="139" t="s">
        <v>3259</v>
      </c>
      <c r="AB818" s="139" t="s">
        <v>3260</v>
      </c>
    </row>
    <row r="819" spans="27:28" hidden="1">
      <c r="AA819" s="139" t="s">
        <v>3261</v>
      </c>
      <c r="AB819" s="139" t="s">
        <v>3262</v>
      </c>
    </row>
    <row r="820" spans="27:28" hidden="1">
      <c r="AA820" s="139" t="s">
        <v>3263</v>
      </c>
      <c r="AB820" s="139" t="s">
        <v>3264</v>
      </c>
    </row>
    <row r="821" spans="27:28" hidden="1">
      <c r="AA821" s="139" t="s">
        <v>3265</v>
      </c>
      <c r="AB821" s="139" t="s">
        <v>3266</v>
      </c>
    </row>
    <row r="822" spans="27:28" hidden="1">
      <c r="AA822" s="139" t="s">
        <v>3267</v>
      </c>
      <c r="AB822" s="139" t="s">
        <v>3198</v>
      </c>
    </row>
    <row r="823" spans="27:28" hidden="1">
      <c r="AA823" s="139" t="s">
        <v>3268</v>
      </c>
      <c r="AB823" s="139" t="s">
        <v>3204</v>
      </c>
    </row>
    <row r="824" spans="27:28" hidden="1">
      <c r="AA824" s="139" t="s">
        <v>3269</v>
      </c>
      <c r="AB824" s="139" t="s">
        <v>3270</v>
      </c>
    </row>
    <row r="825" spans="27:28" hidden="1">
      <c r="AA825" s="139" t="s">
        <v>3271</v>
      </c>
      <c r="AB825" s="139" t="s">
        <v>3272</v>
      </c>
    </row>
    <row r="826" spans="27:28" hidden="1">
      <c r="AA826" s="139" t="s">
        <v>3273</v>
      </c>
      <c r="AB826" s="139" t="s">
        <v>3274</v>
      </c>
    </row>
    <row r="827" spans="27:28" hidden="1">
      <c r="AA827" s="139" t="s">
        <v>3275</v>
      </c>
      <c r="AB827" s="139" t="s">
        <v>3276</v>
      </c>
    </row>
    <row r="828" spans="27:28" hidden="1">
      <c r="AA828" s="139" t="s">
        <v>3277</v>
      </c>
      <c r="AB828" s="139" t="s">
        <v>3278</v>
      </c>
    </row>
    <row r="829" spans="27:28" hidden="1">
      <c r="AA829" s="139" t="s">
        <v>3279</v>
      </c>
      <c r="AB829" s="139" t="s">
        <v>3280</v>
      </c>
    </row>
    <row r="830" spans="27:28" hidden="1">
      <c r="AA830" s="139" t="s">
        <v>3281</v>
      </c>
      <c r="AB830" s="139" t="s">
        <v>3282</v>
      </c>
    </row>
    <row r="831" spans="27:28" hidden="1">
      <c r="AA831" s="139" t="s">
        <v>3283</v>
      </c>
      <c r="AB831" s="139" t="s">
        <v>3284</v>
      </c>
    </row>
    <row r="832" spans="27:28" hidden="1">
      <c r="AA832" s="139" t="s">
        <v>3285</v>
      </c>
      <c r="AB832" s="139" t="s">
        <v>3286</v>
      </c>
    </row>
    <row r="833" spans="27:28" hidden="1">
      <c r="AA833" s="139" t="s">
        <v>3287</v>
      </c>
      <c r="AB833" s="139" t="s">
        <v>3288</v>
      </c>
    </row>
    <row r="834" spans="27:28" hidden="1">
      <c r="AA834" s="139" t="s">
        <v>3289</v>
      </c>
      <c r="AB834" s="139" t="s">
        <v>3290</v>
      </c>
    </row>
    <row r="835" spans="27:28" hidden="1">
      <c r="AA835" s="139" t="s">
        <v>3291</v>
      </c>
      <c r="AB835" s="139" t="s">
        <v>3292</v>
      </c>
    </row>
    <row r="836" spans="27:28" hidden="1">
      <c r="AA836" s="139" t="s">
        <v>3293</v>
      </c>
      <c r="AB836" s="139" t="s">
        <v>3294</v>
      </c>
    </row>
    <row r="837" spans="27:28" hidden="1">
      <c r="AA837" s="139" t="s">
        <v>3295</v>
      </c>
      <c r="AB837" s="139" t="s">
        <v>3296</v>
      </c>
    </row>
    <row r="838" spans="27:28" hidden="1">
      <c r="AA838" s="139" t="s">
        <v>3297</v>
      </c>
      <c r="AB838" s="139" t="s">
        <v>3298</v>
      </c>
    </row>
    <row r="839" spans="27:28" hidden="1">
      <c r="AA839" s="139" t="s">
        <v>3299</v>
      </c>
      <c r="AB839" s="139" t="s">
        <v>3300</v>
      </c>
    </row>
    <row r="840" spans="27:28" hidden="1">
      <c r="AA840" s="139" t="s">
        <v>3301</v>
      </c>
      <c r="AB840" s="139" t="s">
        <v>3302</v>
      </c>
    </row>
    <row r="841" spans="27:28" hidden="1">
      <c r="AA841" s="139" t="s">
        <v>3303</v>
      </c>
      <c r="AB841" s="139" t="s">
        <v>3304</v>
      </c>
    </row>
    <row r="842" spans="27:28" hidden="1">
      <c r="AA842" s="139" t="s">
        <v>3305</v>
      </c>
      <c r="AB842" s="139" t="s">
        <v>3306</v>
      </c>
    </row>
    <row r="843" spans="27:28" hidden="1">
      <c r="AA843" s="139" t="s">
        <v>3307</v>
      </c>
      <c r="AB843" s="139" t="s">
        <v>3308</v>
      </c>
    </row>
    <row r="844" spans="27:28" hidden="1">
      <c r="AA844" s="139" t="s">
        <v>3309</v>
      </c>
      <c r="AB844" s="139" t="s">
        <v>3310</v>
      </c>
    </row>
    <row r="845" spans="27:28" hidden="1">
      <c r="AA845" s="139" t="s">
        <v>3311</v>
      </c>
      <c r="AB845" s="139" t="s">
        <v>3312</v>
      </c>
    </row>
    <row r="846" spans="27:28" hidden="1">
      <c r="AA846" s="139" t="s">
        <v>3313</v>
      </c>
      <c r="AB846" s="139" t="s">
        <v>3314</v>
      </c>
    </row>
    <row r="847" spans="27:28" hidden="1">
      <c r="AA847" s="139" t="s">
        <v>3315</v>
      </c>
      <c r="AB847" s="139" t="s">
        <v>3316</v>
      </c>
    </row>
    <row r="848" spans="27:28" hidden="1">
      <c r="AA848" s="139" t="s">
        <v>3317</v>
      </c>
      <c r="AB848" s="139" t="s">
        <v>3318</v>
      </c>
    </row>
    <row r="849" spans="27:28" hidden="1">
      <c r="AA849" s="139" t="s">
        <v>3319</v>
      </c>
      <c r="AB849" s="139" t="s">
        <v>3320</v>
      </c>
    </row>
    <row r="850" spans="27:28" hidden="1">
      <c r="AA850" s="139" t="s">
        <v>3321</v>
      </c>
      <c r="AB850" s="139" t="s">
        <v>3322</v>
      </c>
    </row>
    <row r="851" spans="27:28" hidden="1">
      <c r="AA851" s="139" t="s">
        <v>3323</v>
      </c>
      <c r="AB851" s="139" t="s">
        <v>3324</v>
      </c>
    </row>
    <row r="852" spans="27:28" hidden="1">
      <c r="AA852" s="139" t="s">
        <v>3325</v>
      </c>
      <c r="AB852" s="139" t="s">
        <v>3326</v>
      </c>
    </row>
    <row r="853" spans="27:28" hidden="1">
      <c r="AA853" s="139" t="s">
        <v>3327</v>
      </c>
      <c r="AB853" s="139" t="s">
        <v>3328</v>
      </c>
    </row>
    <row r="854" spans="27:28" hidden="1">
      <c r="AA854" s="139" t="s">
        <v>3329</v>
      </c>
      <c r="AB854" s="139" t="s">
        <v>3330</v>
      </c>
    </row>
    <row r="855" spans="27:28" hidden="1">
      <c r="AA855" s="139" t="s">
        <v>3331</v>
      </c>
      <c r="AB855" s="139" t="s">
        <v>3332</v>
      </c>
    </row>
    <row r="856" spans="27:28" hidden="1">
      <c r="AA856" s="139" t="s">
        <v>3333</v>
      </c>
      <c r="AB856" s="139" t="s">
        <v>3334</v>
      </c>
    </row>
    <row r="857" spans="27:28" hidden="1">
      <c r="AA857" s="139" t="s">
        <v>3335</v>
      </c>
      <c r="AB857" s="139" t="s">
        <v>2981</v>
      </c>
    </row>
    <row r="858" spans="27:28" hidden="1">
      <c r="AA858" s="139" t="s">
        <v>3336</v>
      </c>
      <c r="AB858" s="139" t="s">
        <v>3337</v>
      </c>
    </row>
    <row r="859" spans="27:28" hidden="1">
      <c r="AA859" s="139" t="s">
        <v>3338</v>
      </c>
      <c r="AB859" s="139" t="s">
        <v>3339</v>
      </c>
    </row>
    <row r="860" spans="27:28" hidden="1">
      <c r="AA860" s="139" t="s">
        <v>3340</v>
      </c>
      <c r="AB860" s="139" t="s">
        <v>3341</v>
      </c>
    </row>
    <row r="861" spans="27:28" hidden="1">
      <c r="AA861" s="139" t="s">
        <v>3342</v>
      </c>
      <c r="AB861" s="139" t="s">
        <v>3343</v>
      </c>
    </row>
    <row r="862" spans="27:28" hidden="1">
      <c r="AA862" s="139" t="s">
        <v>3344</v>
      </c>
      <c r="AB862" s="139" t="s">
        <v>3345</v>
      </c>
    </row>
    <row r="863" spans="27:28" hidden="1">
      <c r="AA863" s="139" t="s">
        <v>3346</v>
      </c>
      <c r="AB863" s="139" t="s">
        <v>3347</v>
      </c>
    </row>
    <row r="864" spans="27:28" hidden="1">
      <c r="AA864" s="139" t="s">
        <v>3348</v>
      </c>
      <c r="AB864" s="139" t="s">
        <v>3349</v>
      </c>
    </row>
    <row r="865" spans="27:28" hidden="1">
      <c r="AA865" s="139" t="s">
        <v>3350</v>
      </c>
      <c r="AB865" s="139" t="s">
        <v>3351</v>
      </c>
    </row>
    <row r="866" spans="27:28" hidden="1">
      <c r="AA866" s="139" t="s">
        <v>3352</v>
      </c>
      <c r="AB866" s="139" t="s">
        <v>3353</v>
      </c>
    </row>
    <row r="867" spans="27:28" hidden="1">
      <c r="AA867" s="139" t="s">
        <v>3354</v>
      </c>
      <c r="AB867" s="139" t="s">
        <v>3355</v>
      </c>
    </row>
    <row r="868" spans="27:28" hidden="1">
      <c r="AA868" s="139" t="s">
        <v>3356</v>
      </c>
      <c r="AB868" s="139" t="s">
        <v>3357</v>
      </c>
    </row>
    <row r="869" spans="27:28" hidden="1">
      <c r="AA869" s="139" t="s">
        <v>984</v>
      </c>
      <c r="AB869" s="139" t="s">
        <v>985</v>
      </c>
    </row>
    <row r="870" spans="27:28" hidden="1">
      <c r="AA870" s="139" t="s">
        <v>986</v>
      </c>
      <c r="AB870" s="139" t="s">
        <v>987</v>
      </c>
    </row>
    <row r="871" spans="27:28" hidden="1">
      <c r="AA871" s="139" t="s">
        <v>988</v>
      </c>
      <c r="AB871" s="139" t="s">
        <v>989</v>
      </c>
    </row>
    <row r="872" spans="27:28" hidden="1">
      <c r="AA872" s="139" t="s">
        <v>1759</v>
      </c>
      <c r="AB872" s="139" t="s">
        <v>1760</v>
      </c>
    </row>
    <row r="873" spans="27:28" hidden="1">
      <c r="AA873" s="139" t="s">
        <v>1761</v>
      </c>
      <c r="AB873" s="139" t="s">
        <v>1762</v>
      </c>
    </row>
    <row r="874" spans="27:28" hidden="1">
      <c r="AA874" s="139" t="s">
        <v>3358</v>
      </c>
      <c r="AB874" s="139" t="s">
        <v>3359</v>
      </c>
    </row>
    <row r="875" spans="27:28" hidden="1">
      <c r="AA875" s="139" t="s">
        <v>3360</v>
      </c>
      <c r="AB875" s="139" t="s">
        <v>3361</v>
      </c>
    </row>
    <row r="876" spans="27:28" hidden="1">
      <c r="AA876" s="139" t="s">
        <v>3362</v>
      </c>
      <c r="AB876" s="139" t="s">
        <v>3363</v>
      </c>
    </row>
    <row r="877" spans="27:28" hidden="1">
      <c r="AA877" s="139" t="s">
        <v>3364</v>
      </c>
      <c r="AB877" s="139" t="s">
        <v>3365</v>
      </c>
    </row>
    <row r="878" spans="27:28" hidden="1">
      <c r="AA878" s="139" t="s">
        <v>3366</v>
      </c>
      <c r="AB878" s="139" t="s">
        <v>3365</v>
      </c>
    </row>
    <row r="879" spans="27:28" hidden="1">
      <c r="AA879" s="139" t="s">
        <v>3367</v>
      </c>
      <c r="AB879" s="139" t="s">
        <v>3368</v>
      </c>
    </row>
    <row r="880" spans="27:28" hidden="1">
      <c r="AA880" s="139" t="s">
        <v>3369</v>
      </c>
      <c r="AB880" s="139" t="s">
        <v>3370</v>
      </c>
    </row>
    <row r="881" spans="27:28" hidden="1">
      <c r="AA881" s="139" t="s">
        <v>990</v>
      </c>
      <c r="AB881" s="139" t="s">
        <v>340</v>
      </c>
    </row>
    <row r="882" spans="27:28" hidden="1">
      <c r="AA882" s="139" t="s">
        <v>991</v>
      </c>
      <c r="AB882" s="139" t="s">
        <v>341</v>
      </c>
    </row>
    <row r="883" spans="27:28" hidden="1">
      <c r="AA883" s="139" t="s">
        <v>992</v>
      </c>
      <c r="AB883" s="139" t="s">
        <v>993</v>
      </c>
    </row>
    <row r="884" spans="27:28" hidden="1">
      <c r="AA884" s="139" t="s">
        <v>994</v>
      </c>
      <c r="AB884" s="139" t="s">
        <v>995</v>
      </c>
    </row>
    <row r="885" spans="27:28" hidden="1">
      <c r="AA885" s="139" t="s">
        <v>1763</v>
      </c>
      <c r="AB885" s="139" t="s">
        <v>1316</v>
      </c>
    </row>
    <row r="886" spans="27:28" hidden="1">
      <c r="AA886" s="139" t="s">
        <v>3371</v>
      </c>
      <c r="AB886" s="139" t="s">
        <v>3372</v>
      </c>
    </row>
    <row r="887" spans="27:28" hidden="1">
      <c r="AA887" s="139" t="s">
        <v>3373</v>
      </c>
      <c r="AB887" s="139" t="s">
        <v>1323</v>
      </c>
    </row>
    <row r="888" spans="27:28" hidden="1">
      <c r="AA888" s="139" t="s">
        <v>996</v>
      </c>
      <c r="AB888" s="139" t="s">
        <v>997</v>
      </c>
    </row>
    <row r="889" spans="27:28" hidden="1">
      <c r="AA889" s="139" t="s">
        <v>998</v>
      </c>
      <c r="AB889" s="139" t="s">
        <v>999</v>
      </c>
    </row>
    <row r="890" spans="27:28" hidden="1">
      <c r="AA890" s="139" t="s">
        <v>1000</v>
      </c>
      <c r="AB890" s="139" t="s">
        <v>1001</v>
      </c>
    </row>
    <row r="891" spans="27:28" hidden="1">
      <c r="AA891" s="139" t="s">
        <v>3374</v>
      </c>
      <c r="AB891" s="139" t="s">
        <v>3375</v>
      </c>
    </row>
    <row r="892" spans="27:28" hidden="1">
      <c r="AA892" s="139" t="s">
        <v>3376</v>
      </c>
      <c r="AB892" s="139" t="s">
        <v>3377</v>
      </c>
    </row>
    <row r="893" spans="27:28" hidden="1">
      <c r="AA893" s="139" t="s">
        <v>1002</v>
      </c>
      <c r="AB893" s="139" t="s">
        <v>1003</v>
      </c>
    </row>
    <row r="894" spans="27:28" hidden="1">
      <c r="AA894" s="139" t="s">
        <v>1004</v>
      </c>
      <c r="AB894" s="139" t="s">
        <v>1005</v>
      </c>
    </row>
    <row r="895" spans="27:28" hidden="1">
      <c r="AA895" s="139" t="s">
        <v>1006</v>
      </c>
      <c r="AB895" s="139" t="s">
        <v>1007</v>
      </c>
    </row>
    <row r="896" spans="27:28" hidden="1">
      <c r="AA896" s="139" t="s">
        <v>1008</v>
      </c>
      <c r="AB896" s="139" t="s">
        <v>1009</v>
      </c>
    </row>
    <row r="897" spans="27:28" hidden="1">
      <c r="AA897" s="139" t="s">
        <v>1010</v>
      </c>
      <c r="AB897" s="139" t="s">
        <v>1011</v>
      </c>
    </row>
    <row r="898" spans="27:28" hidden="1">
      <c r="AA898" s="139" t="s">
        <v>1012</v>
      </c>
      <c r="AB898" s="139" t="s">
        <v>1013</v>
      </c>
    </row>
    <row r="899" spans="27:28" hidden="1">
      <c r="AA899" s="139" t="s">
        <v>1014</v>
      </c>
      <c r="AB899" s="139" t="s">
        <v>1015</v>
      </c>
    </row>
    <row r="900" spans="27:28" hidden="1">
      <c r="AA900" s="139" t="s">
        <v>1016</v>
      </c>
      <c r="AB900" s="139" t="s">
        <v>1017</v>
      </c>
    </row>
    <row r="901" spans="27:28" hidden="1">
      <c r="AA901" s="139" t="s">
        <v>1018</v>
      </c>
      <c r="AB901" s="139" t="s">
        <v>1019</v>
      </c>
    </row>
    <row r="902" spans="27:28" hidden="1">
      <c r="AA902" s="139" t="s">
        <v>1020</v>
      </c>
      <c r="AB902" s="139" t="s">
        <v>1021</v>
      </c>
    </row>
    <row r="903" spans="27:28" hidden="1">
      <c r="AA903" s="139" t="s">
        <v>1022</v>
      </c>
      <c r="AB903" s="139" t="s">
        <v>1023</v>
      </c>
    </row>
    <row r="904" spans="27:28" hidden="1">
      <c r="AA904" s="139" t="s">
        <v>1024</v>
      </c>
      <c r="AB904" s="139" t="s">
        <v>1025</v>
      </c>
    </row>
    <row r="905" spans="27:28" hidden="1">
      <c r="AA905" s="139" t="s">
        <v>1026</v>
      </c>
      <c r="AB905" s="139" t="s">
        <v>1027</v>
      </c>
    </row>
    <row r="906" spans="27:28" hidden="1">
      <c r="AA906" s="139" t="s">
        <v>1028</v>
      </c>
      <c r="AB906" s="139" t="s">
        <v>1029</v>
      </c>
    </row>
    <row r="907" spans="27:28" hidden="1">
      <c r="AA907" s="139" t="s">
        <v>1030</v>
      </c>
      <c r="AB907" s="139" t="s">
        <v>1031</v>
      </c>
    </row>
    <row r="908" spans="27:28" hidden="1">
      <c r="AA908" s="139" t="s">
        <v>1032</v>
      </c>
      <c r="AB908" s="139" t="s">
        <v>1033</v>
      </c>
    </row>
    <row r="909" spans="27:28" hidden="1">
      <c r="AA909" s="139" t="s">
        <v>1034</v>
      </c>
      <c r="AB909" s="139" t="s">
        <v>1035</v>
      </c>
    </row>
    <row r="910" spans="27:28" hidden="1">
      <c r="AA910" s="139" t="s">
        <v>1036</v>
      </c>
      <c r="AB910" s="139" t="s">
        <v>1037</v>
      </c>
    </row>
    <row r="911" spans="27:28" hidden="1">
      <c r="AA911" s="139" t="s">
        <v>1038</v>
      </c>
      <c r="AB911" s="139" t="s">
        <v>1039</v>
      </c>
    </row>
    <row r="912" spans="27:28" hidden="1">
      <c r="AA912" s="139" t="s">
        <v>1040</v>
      </c>
      <c r="AB912" s="139" t="s">
        <v>1041</v>
      </c>
    </row>
    <row r="913" spans="27:28" hidden="1">
      <c r="AA913" s="139" t="s">
        <v>1042</v>
      </c>
      <c r="AB913" s="139" t="s">
        <v>1043</v>
      </c>
    </row>
    <row r="914" spans="27:28" hidden="1">
      <c r="AA914" s="139" t="s">
        <v>1044</v>
      </c>
      <c r="AB914" s="139" t="s">
        <v>1045</v>
      </c>
    </row>
    <row r="915" spans="27:28" hidden="1">
      <c r="AA915" s="139" t="s">
        <v>1046</v>
      </c>
      <c r="AB915" s="139" t="s">
        <v>1047</v>
      </c>
    </row>
    <row r="916" spans="27:28" hidden="1">
      <c r="AA916" s="139" t="s">
        <v>1048</v>
      </c>
      <c r="AB916" s="139" t="s">
        <v>1049</v>
      </c>
    </row>
    <row r="917" spans="27:28" hidden="1">
      <c r="AA917" s="139" t="s">
        <v>1050</v>
      </c>
      <c r="AB917" s="139" t="s">
        <v>1051</v>
      </c>
    </row>
    <row r="918" spans="27:28" hidden="1">
      <c r="AA918" s="139" t="s">
        <v>1764</v>
      </c>
      <c r="AB918" s="139" t="s">
        <v>1765</v>
      </c>
    </row>
    <row r="919" spans="27:28" hidden="1">
      <c r="AA919" s="139" t="s">
        <v>1766</v>
      </c>
      <c r="AB919" s="139" t="s">
        <v>1767</v>
      </c>
    </row>
    <row r="920" spans="27:28" hidden="1">
      <c r="AA920" s="139" t="s">
        <v>1768</v>
      </c>
      <c r="AB920" s="139" t="s">
        <v>1769</v>
      </c>
    </row>
    <row r="921" spans="27:28" hidden="1">
      <c r="AA921" s="139" t="s">
        <v>1770</v>
      </c>
      <c r="AB921" s="139" t="s">
        <v>1771</v>
      </c>
    </row>
    <row r="922" spans="27:28" hidden="1">
      <c r="AA922" s="139" t="s">
        <v>1772</v>
      </c>
      <c r="AB922" s="139" t="s">
        <v>1773</v>
      </c>
    </row>
    <row r="923" spans="27:28" hidden="1">
      <c r="AA923" s="139" t="s">
        <v>1774</v>
      </c>
      <c r="AB923" s="139" t="s">
        <v>1775</v>
      </c>
    </row>
    <row r="924" spans="27:28" hidden="1">
      <c r="AA924" s="139" t="s">
        <v>1776</v>
      </c>
      <c r="AB924" s="139" t="s">
        <v>1777</v>
      </c>
    </row>
    <row r="925" spans="27:28" hidden="1">
      <c r="AA925" s="139" t="s">
        <v>1778</v>
      </c>
      <c r="AB925" s="139" t="s">
        <v>1779</v>
      </c>
    </row>
    <row r="926" spans="27:28" hidden="1">
      <c r="AA926" s="139" t="s">
        <v>1780</v>
      </c>
      <c r="AB926" s="139" t="s">
        <v>1781</v>
      </c>
    </row>
    <row r="927" spans="27:28" hidden="1">
      <c r="AA927" s="139" t="s">
        <v>1782</v>
      </c>
      <c r="AB927" s="139" t="s">
        <v>1783</v>
      </c>
    </row>
    <row r="928" spans="27:28" hidden="1">
      <c r="AA928" s="139" t="s">
        <v>1784</v>
      </c>
      <c r="AB928" s="139" t="s">
        <v>1785</v>
      </c>
    </row>
    <row r="929" spans="27:28" hidden="1">
      <c r="AA929" s="139" t="s">
        <v>1786</v>
      </c>
      <c r="AB929" s="139" t="s">
        <v>1787</v>
      </c>
    </row>
    <row r="930" spans="27:28" hidden="1">
      <c r="AA930" s="139" t="s">
        <v>1788</v>
      </c>
      <c r="AB930" s="139" t="s">
        <v>1789</v>
      </c>
    </row>
    <row r="931" spans="27:28" hidden="1">
      <c r="AA931" s="139" t="s">
        <v>1790</v>
      </c>
      <c r="AB931" s="139" t="s">
        <v>1791</v>
      </c>
    </row>
    <row r="932" spans="27:28" hidden="1">
      <c r="AA932" s="139" t="s">
        <v>1792</v>
      </c>
      <c r="AB932" s="139" t="s">
        <v>1793</v>
      </c>
    </row>
    <row r="933" spans="27:28" hidden="1">
      <c r="AA933" s="139" t="s">
        <v>1794</v>
      </c>
      <c r="AB933" s="139" t="s">
        <v>1795</v>
      </c>
    </row>
    <row r="934" spans="27:28" hidden="1">
      <c r="AA934" s="139" t="s">
        <v>1796</v>
      </c>
      <c r="AB934" s="139" t="s">
        <v>1797</v>
      </c>
    </row>
    <row r="935" spans="27:28" hidden="1">
      <c r="AA935" s="139" t="s">
        <v>1798</v>
      </c>
      <c r="AB935" s="139" t="s">
        <v>1799</v>
      </c>
    </row>
    <row r="936" spans="27:28" hidden="1">
      <c r="AA936" s="139" t="s">
        <v>1800</v>
      </c>
      <c r="AB936" s="139" t="s">
        <v>1801</v>
      </c>
    </row>
    <row r="937" spans="27:28" hidden="1">
      <c r="AA937" s="139" t="s">
        <v>1802</v>
      </c>
      <c r="AB937" s="139" t="s">
        <v>1803</v>
      </c>
    </row>
    <row r="938" spans="27:28" hidden="1">
      <c r="AA938" s="139" t="s">
        <v>1804</v>
      </c>
      <c r="AB938" s="139" t="s">
        <v>1805</v>
      </c>
    </row>
    <row r="939" spans="27:28" hidden="1">
      <c r="AA939" s="139" t="s">
        <v>1806</v>
      </c>
      <c r="AB939" s="139" t="s">
        <v>1807</v>
      </c>
    </row>
    <row r="940" spans="27:28" hidden="1">
      <c r="AA940" s="139" t="s">
        <v>1808</v>
      </c>
      <c r="AB940" s="139" t="s">
        <v>1809</v>
      </c>
    </row>
    <row r="941" spans="27:28" hidden="1">
      <c r="AA941" s="139" t="s">
        <v>1810</v>
      </c>
      <c r="AB941" s="139" t="s">
        <v>1811</v>
      </c>
    </row>
    <row r="942" spans="27:28" hidden="1">
      <c r="AA942" s="139" t="s">
        <v>1812</v>
      </c>
      <c r="AB942" s="139" t="s">
        <v>1813</v>
      </c>
    </row>
    <row r="943" spans="27:28" hidden="1">
      <c r="AA943" s="139" t="s">
        <v>1814</v>
      </c>
      <c r="AB943" s="139" t="s">
        <v>1815</v>
      </c>
    </row>
    <row r="944" spans="27:28" hidden="1">
      <c r="AA944" s="139" t="s">
        <v>3378</v>
      </c>
      <c r="AB944" s="139" t="s">
        <v>3379</v>
      </c>
    </row>
    <row r="945" spans="27:28" hidden="1">
      <c r="AA945" s="139" t="s">
        <v>3380</v>
      </c>
      <c r="AB945" s="139" t="s">
        <v>3381</v>
      </c>
    </row>
    <row r="946" spans="27:28" hidden="1">
      <c r="AA946" s="139" t="s">
        <v>3382</v>
      </c>
      <c r="AB946" s="139" t="s">
        <v>3383</v>
      </c>
    </row>
    <row r="947" spans="27:28" hidden="1">
      <c r="AA947" s="139" t="s">
        <v>3384</v>
      </c>
      <c r="AB947" s="139" t="s">
        <v>3385</v>
      </c>
    </row>
    <row r="948" spans="27:28" hidden="1">
      <c r="AA948" s="139" t="s">
        <v>3386</v>
      </c>
      <c r="AB948" s="139" t="s">
        <v>3387</v>
      </c>
    </row>
    <row r="949" spans="27:28" hidden="1">
      <c r="AA949" s="139" t="s">
        <v>3388</v>
      </c>
      <c r="AB949" s="139" t="s">
        <v>3389</v>
      </c>
    </row>
    <row r="950" spans="27:28" hidden="1">
      <c r="AA950" s="139" t="s">
        <v>3390</v>
      </c>
      <c r="AB950" s="139" t="s">
        <v>3391</v>
      </c>
    </row>
    <row r="951" spans="27:28" hidden="1">
      <c r="AA951" s="139" t="s">
        <v>3392</v>
      </c>
      <c r="AB951" s="139" t="s">
        <v>3393</v>
      </c>
    </row>
    <row r="952" spans="27:28" hidden="1">
      <c r="AA952" s="139" t="s">
        <v>3394</v>
      </c>
      <c r="AB952" s="139" t="s">
        <v>3395</v>
      </c>
    </row>
    <row r="953" spans="27:28" hidden="1">
      <c r="AA953" s="139" t="s">
        <v>3396</v>
      </c>
      <c r="AB953" s="139" t="s">
        <v>3397</v>
      </c>
    </row>
    <row r="954" spans="27:28" hidden="1">
      <c r="AA954" s="139" t="s">
        <v>3398</v>
      </c>
      <c r="AB954" s="139" t="s">
        <v>3399</v>
      </c>
    </row>
    <row r="955" spans="27:28" hidden="1">
      <c r="AA955" s="139" t="s">
        <v>3400</v>
      </c>
      <c r="AB955" s="139" t="s">
        <v>3401</v>
      </c>
    </row>
    <row r="956" spans="27:28" hidden="1">
      <c r="AA956" s="139" t="s">
        <v>3402</v>
      </c>
      <c r="AB956" s="139" t="s">
        <v>3403</v>
      </c>
    </row>
    <row r="957" spans="27:28" hidden="1">
      <c r="AA957" s="139" t="s">
        <v>3404</v>
      </c>
      <c r="AB957" s="139" t="s">
        <v>3405</v>
      </c>
    </row>
    <row r="958" spans="27:28" hidden="1">
      <c r="AA958" s="139" t="s">
        <v>3406</v>
      </c>
      <c r="AB958" s="139" t="s">
        <v>3407</v>
      </c>
    </row>
    <row r="959" spans="27:28" hidden="1">
      <c r="AA959" s="139" t="s">
        <v>3408</v>
      </c>
      <c r="AB959" s="139" t="s">
        <v>3409</v>
      </c>
    </row>
    <row r="960" spans="27:28" hidden="1">
      <c r="AA960" s="139" t="s">
        <v>3410</v>
      </c>
      <c r="AB960" s="139" t="s">
        <v>3411</v>
      </c>
    </row>
    <row r="961" spans="27:28" hidden="1">
      <c r="AA961" s="139" t="s">
        <v>3412</v>
      </c>
      <c r="AB961" s="139" t="s">
        <v>3413</v>
      </c>
    </row>
    <row r="962" spans="27:28" hidden="1">
      <c r="AA962" s="139" t="s">
        <v>3414</v>
      </c>
      <c r="AB962" s="139" t="s">
        <v>3415</v>
      </c>
    </row>
    <row r="963" spans="27:28" hidden="1">
      <c r="AA963" s="139" t="s">
        <v>3416</v>
      </c>
      <c r="AB963" s="139" t="s">
        <v>3417</v>
      </c>
    </row>
    <row r="964" spans="27:28" hidden="1">
      <c r="AA964" s="139" t="s">
        <v>3418</v>
      </c>
      <c r="AB964" s="139" t="s">
        <v>3419</v>
      </c>
    </row>
    <row r="965" spans="27:28" hidden="1">
      <c r="AA965" s="139" t="s">
        <v>3420</v>
      </c>
      <c r="AB965" s="139" t="s">
        <v>3421</v>
      </c>
    </row>
    <row r="966" spans="27:28" hidden="1">
      <c r="AA966" s="139" t="s">
        <v>3422</v>
      </c>
      <c r="AB966" s="139" t="s">
        <v>3421</v>
      </c>
    </row>
    <row r="967" spans="27:28" hidden="1">
      <c r="AA967" s="139" t="s">
        <v>3423</v>
      </c>
      <c r="AB967" s="139" t="s">
        <v>3424</v>
      </c>
    </row>
    <row r="968" spans="27:28" hidden="1">
      <c r="AA968" s="139" t="s">
        <v>3425</v>
      </c>
      <c r="AB968" s="139" t="s">
        <v>3426</v>
      </c>
    </row>
    <row r="969" spans="27:28" hidden="1">
      <c r="AA969" s="139" t="s">
        <v>3427</v>
      </c>
      <c r="AB969" s="139" t="s">
        <v>3428</v>
      </c>
    </row>
    <row r="970" spans="27:28" hidden="1">
      <c r="AA970" s="139" t="s">
        <v>3429</v>
      </c>
      <c r="AB970" s="139" t="s">
        <v>3430</v>
      </c>
    </row>
    <row r="971" spans="27:28" hidden="1">
      <c r="AA971" s="139" t="s">
        <v>3431</v>
      </c>
      <c r="AB971" s="139" t="s">
        <v>3432</v>
      </c>
    </row>
    <row r="972" spans="27:28" hidden="1">
      <c r="AA972" s="139" t="s">
        <v>3433</v>
      </c>
      <c r="AB972" s="139" t="s">
        <v>3434</v>
      </c>
    </row>
    <row r="973" spans="27:28" hidden="1">
      <c r="AA973" s="139" t="s">
        <v>3435</v>
      </c>
      <c r="AB973" s="139" t="s">
        <v>3436</v>
      </c>
    </row>
    <row r="974" spans="27:28" hidden="1">
      <c r="AA974" s="139" t="s">
        <v>3437</v>
      </c>
      <c r="AB974" s="139" t="s">
        <v>3438</v>
      </c>
    </row>
    <row r="975" spans="27:28" hidden="1">
      <c r="AA975" s="139" t="s">
        <v>3439</v>
      </c>
      <c r="AB975" s="139" t="s">
        <v>3440</v>
      </c>
    </row>
    <row r="976" spans="27:28" hidden="1">
      <c r="AA976" s="139" t="s">
        <v>3441</v>
      </c>
      <c r="AB976" s="139" t="s">
        <v>3442</v>
      </c>
    </row>
    <row r="977" spans="27:28" hidden="1">
      <c r="AA977" s="139" t="s">
        <v>3443</v>
      </c>
      <c r="AB977" s="139" t="s">
        <v>3444</v>
      </c>
    </row>
    <row r="978" spans="27:28" hidden="1">
      <c r="AA978" s="139" t="s">
        <v>3445</v>
      </c>
      <c r="AB978" s="139" t="s">
        <v>3446</v>
      </c>
    </row>
    <row r="979" spans="27:28" hidden="1">
      <c r="AA979" s="139" t="s">
        <v>3447</v>
      </c>
      <c r="AB979" s="139" t="s">
        <v>3448</v>
      </c>
    </row>
    <row r="980" spans="27:28" hidden="1">
      <c r="AA980" s="139" t="s">
        <v>3449</v>
      </c>
      <c r="AB980" s="139" t="s">
        <v>3448</v>
      </c>
    </row>
    <row r="981" spans="27:28" hidden="1">
      <c r="AA981" s="139" t="s">
        <v>3450</v>
      </c>
      <c r="AB981" s="139" t="s">
        <v>3451</v>
      </c>
    </row>
    <row r="982" spans="27:28" hidden="1">
      <c r="AA982" s="139" t="s">
        <v>3452</v>
      </c>
      <c r="AB982" s="139" t="s">
        <v>3453</v>
      </c>
    </row>
    <row r="983" spans="27:28" hidden="1">
      <c r="AA983" s="139" t="s">
        <v>3454</v>
      </c>
      <c r="AB983" s="139" t="s">
        <v>3455</v>
      </c>
    </row>
    <row r="984" spans="27:28" hidden="1">
      <c r="AA984" s="139" t="s">
        <v>3456</v>
      </c>
      <c r="AB984" s="139" t="s">
        <v>3457</v>
      </c>
    </row>
    <row r="985" spans="27:28" hidden="1">
      <c r="AA985" s="139" t="s">
        <v>3458</v>
      </c>
      <c r="AB985" s="139" t="s">
        <v>1795</v>
      </c>
    </row>
    <row r="986" spans="27:28" hidden="1">
      <c r="AA986" s="139" t="s">
        <v>3459</v>
      </c>
      <c r="AB986" s="139" t="s">
        <v>3460</v>
      </c>
    </row>
    <row r="987" spans="27:28" hidden="1">
      <c r="AA987" s="139" t="s">
        <v>3461</v>
      </c>
      <c r="AB987" s="139" t="s">
        <v>3462</v>
      </c>
    </row>
    <row r="988" spans="27:28" hidden="1">
      <c r="AA988" s="139" t="s">
        <v>3463</v>
      </c>
      <c r="AB988" s="139" t="s">
        <v>3464</v>
      </c>
    </row>
    <row r="989" spans="27:28" hidden="1">
      <c r="AA989" s="139" t="s">
        <v>3465</v>
      </c>
      <c r="AB989" s="139" t="s">
        <v>3466</v>
      </c>
    </row>
    <row r="990" spans="27:28" hidden="1">
      <c r="AA990" s="139" t="s">
        <v>3467</v>
      </c>
      <c r="AB990" s="139" t="s">
        <v>3468</v>
      </c>
    </row>
    <row r="991" spans="27:28" hidden="1">
      <c r="AA991" s="139" t="s">
        <v>3469</v>
      </c>
      <c r="AB991" s="139" t="s">
        <v>3446</v>
      </c>
    </row>
    <row r="992" spans="27:28" hidden="1">
      <c r="AA992" s="139" t="s">
        <v>3470</v>
      </c>
      <c r="AB992" s="139" t="s">
        <v>3466</v>
      </c>
    </row>
    <row r="993" spans="27:28" hidden="1">
      <c r="AA993" s="139" t="s">
        <v>3471</v>
      </c>
      <c r="AB993" s="139" t="s">
        <v>3472</v>
      </c>
    </row>
    <row r="994" spans="27:28" hidden="1">
      <c r="AA994" s="139" t="s">
        <v>3473</v>
      </c>
      <c r="AB994" s="139" t="s">
        <v>3474</v>
      </c>
    </row>
    <row r="995" spans="27:28" hidden="1">
      <c r="AA995" s="139" t="s">
        <v>3475</v>
      </c>
      <c r="AB995" s="139" t="s">
        <v>3476</v>
      </c>
    </row>
    <row r="996" spans="27:28" hidden="1">
      <c r="AA996" s="139" t="s">
        <v>3477</v>
      </c>
      <c r="AB996" s="139" t="s">
        <v>3478</v>
      </c>
    </row>
    <row r="997" spans="27:28" hidden="1">
      <c r="AA997" s="139" t="s">
        <v>3479</v>
      </c>
      <c r="AB997" s="139" t="s">
        <v>3480</v>
      </c>
    </row>
    <row r="998" spans="27:28" hidden="1">
      <c r="AA998" s="139" t="s">
        <v>3481</v>
      </c>
      <c r="AB998" s="139" t="s">
        <v>3482</v>
      </c>
    </row>
    <row r="999" spans="27:28" hidden="1">
      <c r="AA999" s="139" t="s">
        <v>3483</v>
      </c>
      <c r="AB999" s="139" t="s">
        <v>3484</v>
      </c>
    </row>
    <row r="1000" spans="27:28" hidden="1">
      <c r="AA1000" s="139" t="s">
        <v>3485</v>
      </c>
      <c r="AB1000" s="139" t="s">
        <v>3486</v>
      </c>
    </row>
    <row r="1001" spans="27:28" hidden="1">
      <c r="AA1001" s="139" t="s">
        <v>1052</v>
      </c>
      <c r="AB1001" s="139" t="s">
        <v>340</v>
      </c>
    </row>
    <row r="1002" spans="27:28" hidden="1">
      <c r="AA1002" s="139" t="s">
        <v>1053</v>
      </c>
      <c r="AB1002" s="139" t="s">
        <v>341</v>
      </c>
    </row>
    <row r="1003" spans="27:28" hidden="1">
      <c r="AA1003" s="139" t="s">
        <v>1054</v>
      </c>
      <c r="AB1003" s="139" t="s">
        <v>1055</v>
      </c>
    </row>
    <row r="1004" spans="27:28" hidden="1">
      <c r="AA1004" s="139" t="s">
        <v>1056</v>
      </c>
      <c r="AB1004" s="139" t="s">
        <v>993</v>
      </c>
    </row>
    <row r="1005" spans="27:28" hidden="1">
      <c r="AA1005" s="139" t="s">
        <v>1816</v>
      </c>
      <c r="AB1005" s="139" t="s">
        <v>1817</v>
      </c>
    </row>
    <row r="1006" spans="27:28" hidden="1">
      <c r="AA1006" s="139" t="s">
        <v>1818</v>
      </c>
      <c r="AB1006" s="139" t="s">
        <v>1316</v>
      </c>
    </row>
    <row r="1007" spans="27:28" hidden="1">
      <c r="AA1007" s="139" t="s">
        <v>3487</v>
      </c>
      <c r="AB1007" s="139" t="s">
        <v>3372</v>
      </c>
    </row>
    <row r="1008" spans="27:28" hidden="1">
      <c r="AA1008" s="139" t="s">
        <v>1328</v>
      </c>
      <c r="AB1008" s="139" t="s">
        <v>1329</v>
      </c>
    </row>
    <row r="1009" spans="27:28" hidden="1">
      <c r="AA1009" s="139" t="s">
        <v>1330</v>
      </c>
      <c r="AB1009" s="139" t="s">
        <v>1331</v>
      </c>
    </row>
    <row r="1010" spans="27:28" hidden="1">
      <c r="AA1010" s="139" t="s">
        <v>1332</v>
      </c>
      <c r="AB1010" s="139" t="s">
        <v>1333</v>
      </c>
    </row>
    <row r="1011" spans="27:28" hidden="1">
      <c r="AA1011" s="139" t="s">
        <v>1334</v>
      </c>
      <c r="AB1011" s="139" t="s">
        <v>1335</v>
      </c>
    </row>
    <row r="1012" spans="27:28" hidden="1">
      <c r="AA1012" s="139" t="s">
        <v>1336</v>
      </c>
      <c r="AB1012" s="139" t="s">
        <v>1337</v>
      </c>
    </row>
    <row r="1013" spans="27:28" hidden="1">
      <c r="AA1013" s="139" t="s">
        <v>1338</v>
      </c>
      <c r="AB1013" s="139" t="s">
        <v>1339</v>
      </c>
    </row>
    <row r="1014" spans="27:28" hidden="1">
      <c r="AA1014" s="139" t="s">
        <v>1340</v>
      </c>
      <c r="AB1014" s="139" t="s">
        <v>1341</v>
      </c>
    </row>
    <row r="1015" spans="27:28" hidden="1">
      <c r="AA1015" s="139" t="s">
        <v>1342</v>
      </c>
      <c r="AB1015" s="139" t="s">
        <v>1343</v>
      </c>
    </row>
    <row r="1016" spans="27:28" hidden="1">
      <c r="AA1016" s="139" t="s">
        <v>1344</v>
      </c>
      <c r="AB1016" s="139" t="s">
        <v>1345</v>
      </c>
    </row>
    <row r="1017" spans="27:28" hidden="1">
      <c r="AA1017" s="139" t="s">
        <v>1346</v>
      </c>
      <c r="AB1017" s="139" t="s">
        <v>1347</v>
      </c>
    </row>
    <row r="1018" spans="27:28" hidden="1">
      <c r="AA1018" s="139" t="s">
        <v>1348</v>
      </c>
      <c r="AB1018" s="139" t="s">
        <v>1349</v>
      </c>
    </row>
  </sheetData>
  <sheetProtection algorithmName="SHA-512" hashValue="qCX419Qyhq+jg/Ww//m+D1ooe6qahpc2pG7VaZIi5nE9K50F9Q2i/+yIGMrJxY8glD4aSYQnoq0PWmnlYCKsxw==" saltValue="hNBVzcYbYYJvg51aP0ot3w==" spinCount="100000" sheet="1" selectLockedCells="1"/>
  <sortState ref="AA7:AB239">
    <sortCondition ref="AA7"/>
  </sortState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$AA$6:$AA$1018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133"/>
  <sheetViews>
    <sheetView showGridLines="0" topLeftCell="D1" zoomScale="142" zoomScaleNormal="142" workbookViewId="0">
      <pane ySplit="2" topLeftCell="A3" activePane="bottomLeft" state="frozen"/>
      <selection pane="bottomLeft" activeCell="K7" sqref="K7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277" t="s">
        <v>261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9" s="90" customFormat="1">
      <c r="B2" s="89"/>
      <c r="C2" s="89"/>
      <c r="D2" s="89"/>
      <c r="S2" s="91"/>
      <c r="W2" s="91" t="s">
        <v>262</v>
      </c>
    </row>
    <row r="3" spans="1:29" s="90" customFormat="1" ht="15.6" customHeight="1">
      <c r="B3" s="278" t="s">
        <v>263</v>
      </c>
      <c r="C3" s="279"/>
      <c r="D3" s="280" t="s">
        <v>757</v>
      </c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2"/>
      <c r="V3" s="207"/>
    </row>
    <row r="4" spans="1:29" s="90" customFormat="1" ht="89.25">
      <c r="A4" s="92" t="s">
        <v>1913</v>
      </c>
      <c r="B4" s="92" t="s">
        <v>264</v>
      </c>
      <c r="C4" s="92" t="s">
        <v>265</v>
      </c>
      <c r="D4" s="255" t="s">
        <v>266</v>
      </c>
      <c r="E4" s="208" t="s">
        <v>346</v>
      </c>
      <c r="F4" s="208" t="s">
        <v>318</v>
      </c>
      <c r="G4" s="209" t="s">
        <v>19</v>
      </c>
      <c r="H4" s="209" t="s">
        <v>1374</v>
      </c>
      <c r="I4" s="209" t="s">
        <v>20</v>
      </c>
      <c r="J4" s="209" t="s">
        <v>267</v>
      </c>
      <c r="K4" s="209" t="s">
        <v>268</v>
      </c>
      <c r="L4" s="209" t="s">
        <v>1375</v>
      </c>
      <c r="M4" s="209" t="s">
        <v>269</v>
      </c>
      <c r="N4" s="209" t="s">
        <v>270</v>
      </c>
      <c r="O4" s="209" t="s">
        <v>271</v>
      </c>
      <c r="P4" s="209" t="s">
        <v>1376</v>
      </c>
      <c r="Q4" s="209" t="s">
        <v>1377</v>
      </c>
      <c r="R4" s="209" t="s">
        <v>1909</v>
      </c>
      <c r="S4" s="93" t="s">
        <v>3493</v>
      </c>
      <c r="T4" s="209" t="s">
        <v>272</v>
      </c>
      <c r="U4" s="93" t="s">
        <v>273</v>
      </c>
      <c r="V4" s="93" t="s">
        <v>310</v>
      </c>
      <c r="W4" s="93" t="s">
        <v>1350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 t="shared" ref="D5:D41" si="0">SUM(E5:W5)</f>
        <v>11607977</v>
      </c>
      <c r="E5" s="3"/>
      <c r="F5" s="3"/>
      <c r="G5" s="3">
        <v>261000</v>
      </c>
      <c r="H5" s="3"/>
      <c r="I5" s="3">
        <v>10788107</v>
      </c>
      <c r="J5" s="3">
        <v>86920</v>
      </c>
      <c r="K5" s="3">
        <v>419950</v>
      </c>
      <c r="L5" s="3"/>
      <c r="M5" s="3"/>
      <c r="N5" s="3"/>
      <c r="O5" s="3"/>
      <c r="P5" s="3"/>
      <c r="Q5" s="3"/>
      <c r="R5" s="3"/>
      <c r="S5" s="3"/>
      <c r="T5" s="3"/>
      <c r="U5" s="3"/>
      <c r="V5" s="3">
        <v>52000</v>
      </c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342</v>
      </c>
      <c r="D6" s="70">
        <f t="shared" si="0"/>
        <v>32760623</v>
      </c>
      <c r="E6" s="14">
        <f>+E27+E34</f>
        <v>19705590</v>
      </c>
      <c r="F6" s="14">
        <f t="shared" ref="F6:V6" si="1">+F27+F34</f>
        <v>0</v>
      </c>
      <c r="G6" s="14">
        <f t="shared" si="1"/>
        <v>688000</v>
      </c>
      <c r="H6" s="14">
        <f>+H27+H34</f>
        <v>0</v>
      </c>
      <c r="I6" s="14">
        <f t="shared" ref="I6" si="2">+I27+I34</f>
        <v>12035000</v>
      </c>
      <c r="J6" s="14">
        <f t="shared" si="1"/>
        <v>0</v>
      </c>
      <c r="K6" s="14">
        <f t="shared" si="1"/>
        <v>125000</v>
      </c>
      <c r="L6" s="14">
        <f>+L27+L34</f>
        <v>0</v>
      </c>
      <c r="M6" s="14">
        <f t="shared" si="1"/>
        <v>0</v>
      </c>
      <c r="N6" s="14">
        <f t="shared" si="1"/>
        <v>0</v>
      </c>
      <c r="O6" s="14">
        <f t="shared" si="1"/>
        <v>0</v>
      </c>
      <c r="P6" s="14">
        <f>+P27+P34</f>
        <v>0</v>
      </c>
      <c r="Q6" s="14">
        <f>+Q27+Q34</f>
        <v>0</v>
      </c>
      <c r="R6" s="14">
        <f>+R27+R34</f>
        <v>0</v>
      </c>
      <c r="S6" s="14">
        <f>+S27+S34</f>
        <v>0</v>
      </c>
      <c r="T6" s="14">
        <f t="shared" si="1"/>
        <v>205033</v>
      </c>
      <c r="U6" s="14">
        <f t="shared" si="1"/>
        <v>0</v>
      </c>
      <c r="V6" s="14">
        <f t="shared" si="1"/>
        <v>2000</v>
      </c>
      <c r="W6" s="14">
        <f>+W27+W34</f>
        <v>0</v>
      </c>
    </row>
    <row r="7" spans="1:29" s="90" customFormat="1" ht="21.75" customHeight="1">
      <c r="A7" s="90">
        <v>2021</v>
      </c>
      <c r="B7" s="206"/>
      <c r="C7" s="96" t="s">
        <v>345</v>
      </c>
      <c r="D7" s="70">
        <f t="shared" si="0"/>
        <v>-12199097</v>
      </c>
      <c r="E7" s="259"/>
      <c r="F7" s="259"/>
      <c r="G7" s="259">
        <v>-241000</v>
      </c>
      <c r="H7" s="259"/>
      <c r="I7" s="259">
        <v>-11813097</v>
      </c>
      <c r="J7" s="259">
        <v>-40000</v>
      </c>
      <c r="K7" s="259">
        <v>-51000</v>
      </c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>
        <v>-54000</v>
      </c>
      <c r="W7" s="259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274</v>
      </c>
      <c r="D8" s="70">
        <f t="shared" si="0"/>
        <v>32169503</v>
      </c>
      <c r="E8" s="14">
        <f>+E5+E6+E7</f>
        <v>19705590</v>
      </c>
      <c r="F8" s="14">
        <f t="shared" ref="F8:V8" si="3">+F5+F6+F7</f>
        <v>0</v>
      </c>
      <c r="G8" s="14">
        <f t="shared" si="3"/>
        <v>708000</v>
      </c>
      <c r="H8" s="14">
        <f>+H5+H6+H7</f>
        <v>0</v>
      </c>
      <c r="I8" s="14">
        <f t="shared" ref="I8" si="4">+I5+I6+I7</f>
        <v>11010010</v>
      </c>
      <c r="J8" s="14">
        <f t="shared" si="3"/>
        <v>46920</v>
      </c>
      <c r="K8" s="14">
        <f t="shared" si="3"/>
        <v>493950</v>
      </c>
      <c r="L8" s="14">
        <f>+L5+L6+L7</f>
        <v>0</v>
      </c>
      <c r="M8" s="14">
        <f t="shared" si="3"/>
        <v>0</v>
      </c>
      <c r="N8" s="14">
        <f t="shared" si="3"/>
        <v>0</v>
      </c>
      <c r="O8" s="14">
        <f t="shared" si="3"/>
        <v>0</v>
      </c>
      <c r="P8" s="14">
        <f>+P5+P6+P7</f>
        <v>0</v>
      </c>
      <c r="Q8" s="14">
        <f>+Q5+Q6+Q7</f>
        <v>0</v>
      </c>
      <c r="R8" s="14">
        <f>+R5+R6+R7</f>
        <v>0</v>
      </c>
      <c r="S8" s="14">
        <f>+S5+S6+S7</f>
        <v>0</v>
      </c>
      <c r="T8" s="14">
        <f t="shared" si="3"/>
        <v>205033</v>
      </c>
      <c r="U8" s="14">
        <f t="shared" si="3"/>
        <v>0</v>
      </c>
      <c r="V8" s="14">
        <f t="shared" si="3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229</v>
      </c>
      <c r="D9" s="70">
        <f t="shared" si="0"/>
        <v>32169503</v>
      </c>
      <c r="E9" s="134">
        <f>+'PLAN RASHODA I IZDATAKA'!E3</f>
        <v>19705590</v>
      </c>
      <c r="F9" s="134">
        <f>+'PLAN RASHODA I IZDATAKA'!F3</f>
        <v>0</v>
      </c>
      <c r="G9" s="134">
        <f>+'PLAN RASHODA I IZDATAKA'!G3</f>
        <v>708000</v>
      </c>
      <c r="H9" s="134">
        <f>+'PLAN RASHODA I IZDATAKA'!H3</f>
        <v>0</v>
      </c>
      <c r="I9" s="134">
        <f>+'PLAN RASHODA I IZDATAKA'!I3</f>
        <v>11010010</v>
      </c>
      <c r="J9" s="134">
        <f>+'PLAN RASHODA I IZDATAKA'!J3</f>
        <v>46920</v>
      </c>
      <c r="K9" s="134">
        <f>+'PLAN RASHODA I IZDATAKA'!K3</f>
        <v>493950</v>
      </c>
      <c r="L9" s="134">
        <f>+'PLAN RASHODA I IZDATAKA'!L3</f>
        <v>0</v>
      </c>
      <c r="M9" s="134">
        <f>+'PLAN RASHODA I IZDATAKA'!M3</f>
        <v>0</v>
      </c>
      <c r="N9" s="134">
        <f>+'PLAN RASHODA I IZDATAKA'!N3</f>
        <v>0</v>
      </c>
      <c r="O9" s="134">
        <f>+'PLAN RASHODA I IZDATAKA'!O3</f>
        <v>0</v>
      </c>
      <c r="P9" s="134">
        <f>+'PLAN RASHODA I IZDATAKA'!P3</f>
        <v>0</v>
      </c>
      <c r="Q9" s="134">
        <f>+'PLAN RASHODA I IZDATAKA'!Q3</f>
        <v>0</v>
      </c>
      <c r="R9" s="134">
        <f>+'PLAN RASHODA I IZDATAKA'!R3</f>
        <v>0</v>
      </c>
      <c r="S9" s="134">
        <f>+'PLAN RASHODA I IZDATAKA'!S3</f>
        <v>0</v>
      </c>
      <c r="T9" s="134">
        <f>+'PLAN RASHODA I IZDATAKA'!T3</f>
        <v>205033</v>
      </c>
      <c r="U9" s="134">
        <f>+'PLAN RASHODA I IZDATAKA'!U3</f>
        <v>0</v>
      </c>
      <c r="V9" s="134">
        <f>+'PLAN RASHODA I IZDATAKA'!V3</f>
        <v>0</v>
      </c>
      <c r="W9" s="134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344</v>
      </c>
      <c r="D10" s="70">
        <f t="shared" si="0"/>
        <v>0</v>
      </c>
      <c r="E10" s="118">
        <f>+E8-E9</f>
        <v>0</v>
      </c>
      <c r="F10" s="118">
        <f t="shared" ref="F10:W10" si="5">+F8-F9</f>
        <v>0</v>
      </c>
      <c r="G10" s="118">
        <f t="shared" si="5"/>
        <v>0</v>
      </c>
      <c r="H10" s="118">
        <f>+H8-H9</f>
        <v>0</v>
      </c>
      <c r="I10" s="118">
        <f t="shared" ref="I10" si="6">+I8-I9</f>
        <v>0</v>
      </c>
      <c r="J10" s="118">
        <f t="shared" si="5"/>
        <v>0</v>
      </c>
      <c r="K10" s="118">
        <f t="shared" si="5"/>
        <v>0</v>
      </c>
      <c r="L10" s="118">
        <f>+L8-L9</f>
        <v>0</v>
      </c>
      <c r="M10" s="118">
        <f t="shared" si="5"/>
        <v>0</v>
      </c>
      <c r="N10" s="118">
        <f t="shared" si="5"/>
        <v>0</v>
      </c>
      <c r="O10" s="118">
        <f t="shared" si="5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>+S8-S9</f>
        <v>0</v>
      </c>
      <c r="T10" s="118">
        <f t="shared" si="5"/>
        <v>0</v>
      </c>
      <c r="U10" s="118">
        <f t="shared" si="5"/>
        <v>0</v>
      </c>
      <c r="V10" s="118">
        <f t="shared" si="5"/>
        <v>0</v>
      </c>
      <c r="W10" s="118">
        <f t="shared" si="5"/>
        <v>0</v>
      </c>
    </row>
    <row r="11" spans="1:29" s="90" customFormat="1">
      <c r="A11" s="90">
        <v>2021</v>
      </c>
      <c r="B11" s="97" t="s">
        <v>1379</v>
      </c>
      <c r="C11" s="110" t="s">
        <v>1380</v>
      </c>
      <c r="D11" s="70">
        <f t="shared" si="0"/>
        <v>0</v>
      </c>
      <c r="E11" s="186">
        <f>SUMIFS('Plan prihoda za unos u SAP'!$G$3:$G$501,'Plan prihoda za unos u SAP'!$C$3:$C$501,"=11",'Plan prihoda za unos u SAP'!$K$3:$K$501,"=614")</f>
        <v>0</v>
      </c>
      <c r="F11" s="186">
        <f>SUMIFS('Plan prihoda za unos u SAP'!$G$3:$G$501,'Plan prihoda za unos u SAP'!$C$3:$C$501,"=12",'Plan prihoda za unos u SAP'!$K$3:$K$501,"=614")</f>
        <v>0</v>
      </c>
      <c r="G11" s="186">
        <f>SUMIFS('Plan prihoda za unos u SAP'!$G$3:$G$501,'Plan prihoda za unos u SAP'!$C$3:$C$501,"=31",'Plan prihoda za unos u SAP'!$K$3:$K$501,"=614")</f>
        <v>0</v>
      </c>
      <c r="H11" s="186">
        <f>SUMIFS('Plan prihoda za unos u SAP'!$G$3:$G$501,'Plan prihoda za unos u SAP'!$C$3:$C$501,"=41",'Plan prihoda za unos u SAP'!$K$3:$K$501,"=614")</f>
        <v>0</v>
      </c>
      <c r="I11" s="186">
        <f>SUMIFS('Plan prihoda za unos u SAP'!$G$3:$G$501,'Plan prihoda za unos u SAP'!$C$3:$C$501,"=43",'Plan prihoda za unos u SAP'!$K$3:$K$501,"=614")</f>
        <v>0</v>
      </c>
      <c r="J11" s="186">
        <f>SUMIFS('Plan prihoda za unos u SAP'!$G$3:$G$501,'Plan prihoda za unos u SAP'!$C$3:$C$501,"=51",'Plan prihoda za unos u SAP'!$K$3:$K$501,"=614")</f>
        <v>0</v>
      </c>
      <c r="K11" s="186">
        <f>SUMIFS('Plan prihoda za unos u SAP'!$G$3:$G$501,'Plan prihoda za unos u SAP'!$C$3:$C$501,"=52",'Plan prihoda za unos u SAP'!$K$3:$K$501,"=614")</f>
        <v>0</v>
      </c>
      <c r="L11" s="186">
        <f>SUMIFS('Plan prihoda za unos u SAP'!$G$3:$G$501,'Plan prihoda za unos u SAP'!$C$3:$C$501,"=552",'Plan prihoda za unos u SAP'!$K$3:$K$501,"=614")</f>
        <v>0</v>
      </c>
      <c r="M11" s="186">
        <f>SUMIFS('Plan prihoda za unos u SAP'!$G$3:$G$501,'Plan prihoda za unos u SAP'!$C$3:$C$501,"=559",'Plan prihoda za unos u SAP'!$K$3:$K$501,"=614")</f>
        <v>0</v>
      </c>
      <c r="N11" s="186">
        <f>SUMIFS('Plan prihoda za unos u SAP'!$G$3:$G$501,'Plan prihoda za unos u SAP'!$C$3:$C$501,"=561",'Plan prihoda za unos u SAP'!$K$3:$K$501,"=614")</f>
        <v>0</v>
      </c>
      <c r="O11" s="186">
        <f>SUMIFS('Plan prihoda za unos u SAP'!$G$3:$G$501,'Plan prihoda za unos u SAP'!$C$3:$C$501,"=563",'Plan prihoda za unos u SAP'!$K$3:$K$501,"=614")</f>
        <v>0</v>
      </c>
      <c r="P11" s="186">
        <f>SUMIFS('Plan prihoda za unos u SAP'!$G$3:$G$501,'Plan prihoda za unos u SAP'!$C$3:$C$501,"=573",'Plan prihoda za unos u SAP'!$K$3:$K$501,"=614")</f>
        <v>0</v>
      </c>
      <c r="Q11" s="186">
        <f>SUMIFS('Plan prihoda za unos u SAP'!$G$3:$G$501,'Plan prihoda za unos u SAP'!$C$3:$C$501,"=575",'Plan prihoda za unos u SAP'!$K$3:$K$501,"=614")</f>
        <v>0</v>
      </c>
      <c r="R11" s="186">
        <f>SUMIFS('Plan prihoda za unos u SAP'!$G$3:$G$501,'Plan prihoda za unos u SAP'!$C$3:$C$501,"=576",'Plan prihoda za unos u SAP'!$K$3:$K$501,"=614")</f>
        <v>0</v>
      </c>
      <c r="S11" s="186">
        <f>SUMIFS('Plan prihoda za unos u SAP'!$G$3:$G$501,'Plan prihoda za unos u SAP'!$C$3:$C$501,"=581",'Plan prihoda za unos u SAP'!$K$3:$K$501,"=614")</f>
        <v>0</v>
      </c>
      <c r="T11" s="186">
        <f>SUMIFS('Plan prihoda za unos u SAP'!$G$3:$G$501,'Plan prihoda za unos u SAP'!$C$3:$C$501,"=61",'Plan prihoda za unos u SAP'!$K$3:$K$501,"=614")</f>
        <v>0</v>
      </c>
      <c r="U11" s="186">
        <f>SUMIFS('Plan prihoda za unos u SAP'!$G$3:$G$501,'Plan prihoda za unos u SAP'!$C$3:$C$501,"=63",'Plan prihoda za unos u SAP'!$K$3:$K$501,"=614")</f>
        <v>0</v>
      </c>
      <c r="V11" s="186">
        <f>SUMIFS('Plan prihoda za unos u SAP'!$G$3:$G$501,'Plan prihoda za unos u SAP'!$C$3:$C$501,"=71",'Plan prihoda za unos u SAP'!$K$3:$K$501,"=614")</f>
        <v>0</v>
      </c>
      <c r="W11" s="186">
        <f>SUMIFS('Plan prihoda za unos u SAP'!$G$3:$G$501,'Plan prihoda za unos u SAP'!$C$3:$C$501,"=81",'Plan prihoda za unos u SAP'!$K$3:$K$501,"=614")</f>
        <v>0</v>
      </c>
    </row>
    <row r="12" spans="1:29" s="90" customFormat="1">
      <c r="A12" s="90">
        <v>2021</v>
      </c>
      <c r="B12" s="97" t="s">
        <v>275</v>
      </c>
      <c r="C12" s="110" t="s">
        <v>276</v>
      </c>
      <c r="D12" s="70">
        <f t="shared" si="0"/>
        <v>0</v>
      </c>
      <c r="E12" s="186">
        <f>SUMIFS('Plan prihoda za unos u SAP'!$G$3:$G$501,'Plan prihoda za unos u SAP'!$C$3:$C$501,"=11",'Plan prihoda za unos u SAP'!$K$3:$K$501,"=631")</f>
        <v>0</v>
      </c>
      <c r="F12" s="186">
        <f>SUMIFS('Plan prihoda za unos u SAP'!$G$3:$G$501,'Plan prihoda za unos u SAP'!$C$3:$C$501,"=12",'Plan prihoda za unos u SAP'!$K$3:$K$501,"=631")</f>
        <v>0</v>
      </c>
      <c r="G12" s="186">
        <f>SUMIFS('Plan prihoda za unos u SAP'!$G$3:$G$501,'Plan prihoda za unos u SAP'!$C$3:$C$501,"=31",'Plan prihoda za unos u SAP'!$K$3:$K$501,"=631")</f>
        <v>0</v>
      </c>
      <c r="H12" s="186">
        <f>SUMIFS('Plan prihoda za unos u SAP'!$G$3:$G$501,'Plan prihoda za unos u SAP'!$C$3:$C$501,"=41",'Plan prihoda za unos u SAP'!$K$3:$K$501,"=631")</f>
        <v>0</v>
      </c>
      <c r="I12" s="186">
        <f>SUMIFS('Plan prihoda za unos u SAP'!$G$3:$G$501,'Plan prihoda za unos u SAP'!$C$3:$C$501,"=43",'Plan prihoda za unos u SAP'!$K$3:$K$501,"=631")</f>
        <v>0</v>
      </c>
      <c r="J12" s="186">
        <f>SUMIFS('Plan prihoda za unos u SAP'!$G$3:$G$501,'Plan prihoda za unos u SAP'!$C$3:$C$501,"=51",'Plan prihoda za unos u SAP'!$K$3:$K$501,"=631")</f>
        <v>0</v>
      </c>
      <c r="K12" s="186">
        <f>SUMIFS('Plan prihoda za unos u SAP'!$G$3:$G$501,'Plan prihoda za unos u SAP'!$C$3:$C$501,"=52",'Plan prihoda za unos u SAP'!$K$3:$K$501,"=631")</f>
        <v>0</v>
      </c>
      <c r="L12" s="186">
        <f>SUMIFS('Plan prihoda za unos u SAP'!$G$3:$G$501,'Plan prihoda za unos u SAP'!$C$3:$C$501,"=552",'Plan prihoda za unos u SAP'!$K$3:$K$501,"=631")</f>
        <v>0</v>
      </c>
      <c r="M12" s="186">
        <f>SUMIFS('Plan prihoda za unos u SAP'!$G$3:$G$501,'Plan prihoda za unos u SAP'!$C$3:$C$501,"=559",'Plan prihoda za unos u SAP'!$K$3:$K$501,"=631")</f>
        <v>0</v>
      </c>
      <c r="N12" s="186">
        <f>SUMIFS('Plan prihoda za unos u SAP'!$G$3:$G$501,'Plan prihoda za unos u SAP'!$C$3:$C$501,"=561",'Plan prihoda za unos u SAP'!$K$3:$K$501,"=631")</f>
        <v>0</v>
      </c>
      <c r="O12" s="186">
        <f>SUMIFS('Plan prihoda za unos u SAP'!$G$3:$G$501,'Plan prihoda za unos u SAP'!$C$3:$C$501,"=563",'Plan prihoda za unos u SAP'!$K$3:$K$501,"=631")</f>
        <v>0</v>
      </c>
      <c r="P12" s="186">
        <f>SUMIFS('Plan prihoda za unos u SAP'!$G$3:$G$501,'Plan prihoda za unos u SAP'!$C$3:$C$501,"=573",'Plan prihoda za unos u SAP'!$K$3:$K$501,"=631")</f>
        <v>0</v>
      </c>
      <c r="Q12" s="186">
        <f>SUMIFS('Plan prihoda za unos u SAP'!$G$3:$G$501,'Plan prihoda za unos u SAP'!$C$3:$C$501,"=575",'Plan prihoda za unos u SAP'!$K$3:$K$501,"=631")</f>
        <v>0</v>
      </c>
      <c r="R12" s="186">
        <f>SUMIFS('Plan prihoda za unos u SAP'!$G$3:$G$501,'Plan prihoda za unos u SAP'!$C$3:$C$501,"=576",'Plan prihoda za unos u SAP'!$K$3:$K$501,"=631")</f>
        <v>0</v>
      </c>
      <c r="S12" s="186">
        <f>SUMIFS('Plan prihoda za unos u SAP'!$G$3:$G$501,'Plan prihoda za unos u SAP'!$C$3:$C$501,"=581",'Plan prihoda za unos u SAP'!$K$3:$K$501,"=631")</f>
        <v>0</v>
      </c>
      <c r="T12" s="186">
        <f>SUMIFS('Plan prihoda za unos u SAP'!$G$3:$G$501,'Plan prihoda za unos u SAP'!$C$3:$C$501,"=61",'Plan prihoda za unos u SAP'!$K$3:$K$501,"=631")</f>
        <v>0</v>
      </c>
      <c r="U12" s="186">
        <f>SUMIFS('Plan prihoda za unos u SAP'!$G$3:$G$501,'Plan prihoda za unos u SAP'!$C$3:$C$501,"=63",'Plan prihoda za unos u SAP'!$K$3:$K$501,"=631")</f>
        <v>0</v>
      </c>
      <c r="V12" s="186">
        <f>SUMIFS('Plan prihoda za unos u SAP'!$G$3:$G$501,'Plan prihoda za unos u SAP'!$C$3:$C$501,"=71",'Plan prihoda za unos u SAP'!$K$3:$K$501,"=631")</f>
        <v>0</v>
      </c>
      <c r="W12" s="186">
        <f>SUMIFS('Plan prihoda za unos u SAP'!$G$3:$G$501,'Plan prihoda za unos u SAP'!$C$3:$C$501,"=81",'Plan prihoda za unos u SAP'!$K$3:$K$501,"=631")</f>
        <v>0</v>
      </c>
    </row>
    <row r="13" spans="1:29" s="90" customFormat="1">
      <c r="A13" s="90">
        <v>2021</v>
      </c>
      <c r="B13" s="95" t="s">
        <v>277</v>
      </c>
      <c r="C13" s="96" t="s">
        <v>278</v>
      </c>
      <c r="D13" s="70">
        <f t="shared" si="0"/>
        <v>0</v>
      </c>
      <c r="E13" s="186">
        <f>SUMIFS('Plan prihoda za unos u SAP'!$G$3:$G$501,'Plan prihoda za unos u SAP'!$C$3:$C$501,"=11",'Plan prihoda za unos u SAP'!$K$3:$K$501,"=632")</f>
        <v>0</v>
      </c>
      <c r="F13" s="186">
        <f>SUMIFS('Plan prihoda za unos u SAP'!$G$3:$G$501,'Plan prihoda za unos u SAP'!$C$3:$C$501,"=12",'Plan prihoda za unos u SAP'!$K$3:$K$501,"=632")</f>
        <v>0</v>
      </c>
      <c r="G13" s="186">
        <f>SUMIFS('Plan prihoda za unos u SAP'!$G$3:$G$501,'Plan prihoda za unos u SAP'!$C$3:$C$501,"=31",'Plan prihoda za unos u SAP'!$K$3:$K$501,"=632")</f>
        <v>0</v>
      </c>
      <c r="H13" s="186">
        <f>SUMIFS('Plan prihoda za unos u SAP'!$G$3:$G$501,'Plan prihoda za unos u SAP'!$C$3:$C$501,"=41",'Plan prihoda za unos u SAP'!$K$3:$K$501,"=632")</f>
        <v>0</v>
      </c>
      <c r="I13" s="186">
        <f>SUMIFS('Plan prihoda za unos u SAP'!$G$3:$G$501,'Plan prihoda za unos u SAP'!$C$3:$C$501,"=43",'Plan prihoda za unos u SAP'!$K$3:$K$501,"=632")</f>
        <v>0</v>
      </c>
      <c r="J13" s="186">
        <f>SUMIFS('Plan prihoda za unos u SAP'!$G$3:$G$501,'Plan prihoda za unos u SAP'!$C$3:$C$501,"=51",'Plan prihoda za unos u SAP'!$K$3:$K$501,"=632")</f>
        <v>0</v>
      </c>
      <c r="K13" s="186">
        <f>SUMIFS('Plan prihoda za unos u SAP'!$G$3:$G$501,'Plan prihoda za unos u SAP'!$C$3:$C$501,"=52",'Plan prihoda za unos u SAP'!$K$3:$K$501,"=632")</f>
        <v>0</v>
      </c>
      <c r="L13" s="186">
        <f>SUMIFS('Plan prihoda za unos u SAP'!$G$3:$G$501,'Plan prihoda za unos u SAP'!$C$3:$C$501,"=552",'Plan prihoda za unos u SAP'!$K$3:$K$501,"=632")</f>
        <v>0</v>
      </c>
      <c r="M13" s="186">
        <f>SUMIFS('Plan prihoda za unos u SAP'!$G$3:$G$501,'Plan prihoda za unos u SAP'!$C$3:$C$501,"=559",'Plan prihoda za unos u SAP'!$K$3:$K$501,"=632")</f>
        <v>0</v>
      </c>
      <c r="N13" s="186">
        <f>SUMIFS('Plan prihoda za unos u SAP'!$G$3:$G$501,'Plan prihoda za unos u SAP'!$C$3:$C$501,"=561",'Plan prihoda za unos u SAP'!$K$3:$K$501,"=632")</f>
        <v>0</v>
      </c>
      <c r="O13" s="186">
        <f>SUMIFS('Plan prihoda za unos u SAP'!$G$3:$G$501,'Plan prihoda za unos u SAP'!$C$3:$C$501,"=563",'Plan prihoda za unos u SAP'!$K$3:$K$501,"=632")</f>
        <v>0</v>
      </c>
      <c r="P13" s="186">
        <f>SUMIFS('Plan prihoda za unos u SAP'!$G$3:$G$501,'Plan prihoda za unos u SAP'!$C$3:$C$501,"=573",'Plan prihoda za unos u SAP'!$K$3:$K$501,"=632")</f>
        <v>0</v>
      </c>
      <c r="Q13" s="186">
        <f>SUMIFS('Plan prihoda za unos u SAP'!$G$3:$G$501,'Plan prihoda za unos u SAP'!$C$3:$C$501,"=575",'Plan prihoda za unos u SAP'!$K$3:$K$501,"=632")</f>
        <v>0</v>
      </c>
      <c r="R13" s="186">
        <f>SUMIFS('Plan prihoda za unos u SAP'!$G$3:$G$501,'Plan prihoda za unos u SAP'!$C$3:$C$501,"=576",'Plan prihoda za unos u SAP'!$K$3:$K$501,"=632")</f>
        <v>0</v>
      </c>
      <c r="S13" s="186">
        <f>SUMIFS('Plan prihoda za unos u SAP'!$G$3:$G$501,'Plan prihoda za unos u SAP'!$C$3:$C$501,"=581",'Plan prihoda za unos u SAP'!$K$3:$K$501,"=632")</f>
        <v>0</v>
      </c>
      <c r="T13" s="186">
        <f>SUMIFS('Plan prihoda za unos u SAP'!$G$3:$G$501,'Plan prihoda za unos u SAP'!$C$3:$C$501,"=61",'Plan prihoda za unos u SAP'!$K$3:$K$501,"=632")</f>
        <v>0</v>
      </c>
      <c r="U13" s="186">
        <f>SUMIFS('Plan prihoda za unos u SAP'!$G$3:$G$501,'Plan prihoda za unos u SAP'!$C$3:$C$501,"=63",'Plan prihoda za unos u SAP'!$K$3:$K$501,"=632")</f>
        <v>0</v>
      </c>
      <c r="V13" s="186">
        <f>SUMIFS('Plan prihoda za unos u SAP'!$G$3:$G$501,'Plan prihoda za unos u SAP'!$C$3:$C$501,"=71",'Plan prihoda za unos u SAP'!$K$3:$K$501,"=632")</f>
        <v>0</v>
      </c>
      <c r="W13" s="186">
        <f>SUMIFS('Plan prihoda za unos u SAP'!$G$3:$G$501,'Plan prihoda za unos u SAP'!$C$3:$C$501,"=81",'Plan prihoda za unos u SAP'!$K$3:$K$501,"=632")</f>
        <v>0</v>
      </c>
    </row>
    <row r="14" spans="1:29" s="90" customFormat="1">
      <c r="A14" s="90">
        <v>2021</v>
      </c>
      <c r="B14" s="95" t="s">
        <v>279</v>
      </c>
      <c r="C14" s="96" t="s">
        <v>280</v>
      </c>
      <c r="D14" s="70">
        <f t="shared" si="0"/>
        <v>0</v>
      </c>
      <c r="E14" s="186">
        <f>SUMIFS('Plan prihoda za unos u SAP'!$G$3:$G$501,'Plan prihoda za unos u SAP'!$C$3:$C$501,"=11",'Plan prihoda za unos u SAP'!$K$3:$K$501,"=634")</f>
        <v>0</v>
      </c>
      <c r="F14" s="186">
        <f>SUMIFS('Plan prihoda za unos u SAP'!$G$3:$G$501,'Plan prihoda za unos u SAP'!$C$3:$C$501,"=12",'Plan prihoda za unos u SAP'!$K$3:$K$501,"=634")</f>
        <v>0</v>
      </c>
      <c r="G14" s="186">
        <f>SUMIFS('Plan prihoda za unos u SAP'!$G$3:$G$501,'Plan prihoda za unos u SAP'!$C$3:$C$501,"=31",'Plan prihoda za unos u SAP'!$K$3:$K$501,"=634")</f>
        <v>0</v>
      </c>
      <c r="H14" s="186">
        <f>SUMIFS('Plan prihoda za unos u SAP'!$G$3:$G$501,'Plan prihoda za unos u SAP'!$C$3:$C$501,"=41",'Plan prihoda za unos u SAP'!$K$3:$K$501,"=634")</f>
        <v>0</v>
      </c>
      <c r="I14" s="186">
        <f>SUMIFS('Plan prihoda za unos u SAP'!$G$3:$G$501,'Plan prihoda za unos u SAP'!$C$3:$C$501,"=43",'Plan prihoda za unos u SAP'!$K$3:$K$501,"=634")</f>
        <v>0</v>
      </c>
      <c r="J14" s="186">
        <f>SUMIFS('Plan prihoda za unos u SAP'!$G$3:$G$501,'Plan prihoda za unos u SAP'!$C$3:$C$501,"=51",'Plan prihoda za unos u SAP'!$K$3:$K$501,"=634")</f>
        <v>0</v>
      </c>
      <c r="K14" s="186">
        <f>SUMIFS('Plan prihoda za unos u SAP'!$G$3:$G$501,'Plan prihoda za unos u SAP'!$C$3:$C$501,"=52",'Plan prihoda za unos u SAP'!$K$3:$K$501,"=634")</f>
        <v>0</v>
      </c>
      <c r="L14" s="186">
        <f>SUMIFS('Plan prihoda za unos u SAP'!$G$3:$G$501,'Plan prihoda za unos u SAP'!$C$3:$C$501,"=552",'Plan prihoda za unos u SAP'!$K$3:$K$501,"=634")</f>
        <v>0</v>
      </c>
      <c r="M14" s="186">
        <f>SUMIFS('Plan prihoda za unos u SAP'!$G$3:$G$501,'Plan prihoda za unos u SAP'!$C$3:$C$501,"=559",'Plan prihoda za unos u SAP'!$K$3:$K$501,"=634")</f>
        <v>0</v>
      </c>
      <c r="N14" s="186">
        <f>SUMIFS('Plan prihoda za unos u SAP'!$G$3:$G$501,'Plan prihoda za unos u SAP'!$C$3:$C$501,"=561",'Plan prihoda za unos u SAP'!$K$3:$K$501,"=634")</f>
        <v>0</v>
      </c>
      <c r="O14" s="186">
        <f>SUMIFS('Plan prihoda za unos u SAP'!$G$3:$G$501,'Plan prihoda za unos u SAP'!$C$3:$C$501,"=563",'Plan prihoda za unos u SAP'!$K$3:$K$501,"=634")</f>
        <v>0</v>
      </c>
      <c r="P14" s="186">
        <f>SUMIFS('Plan prihoda za unos u SAP'!$G$3:$G$501,'Plan prihoda za unos u SAP'!$C$3:$C$501,"=573",'Plan prihoda za unos u SAP'!$K$3:$K$501,"=634")</f>
        <v>0</v>
      </c>
      <c r="Q14" s="186">
        <f>SUMIFS('Plan prihoda za unos u SAP'!$G$3:$G$501,'Plan prihoda za unos u SAP'!$C$3:$C$501,"=575",'Plan prihoda za unos u SAP'!$K$3:$K$501,"=634")</f>
        <v>0</v>
      </c>
      <c r="R14" s="186">
        <f>SUMIFS('Plan prihoda za unos u SAP'!$G$3:$G$501,'Plan prihoda za unos u SAP'!$C$3:$C$501,"=576",'Plan prihoda za unos u SAP'!$K$3:$K$501,"=634")</f>
        <v>0</v>
      </c>
      <c r="S14" s="186">
        <f>SUMIFS('Plan prihoda za unos u SAP'!$G$3:$G$501,'Plan prihoda za unos u SAP'!$C$3:$C$501,"=581",'Plan prihoda za unos u SAP'!$K$3:$K$501,"=634")</f>
        <v>0</v>
      </c>
      <c r="T14" s="186">
        <f>SUMIFS('Plan prihoda za unos u SAP'!$G$3:$G$501,'Plan prihoda za unos u SAP'!$C$3:$C$501,"=61",'Plan prihoda za unos u SAP'!$K$3:$K$501,"=634")</f>
        <v>0</v>
      </c>
      <c r="U14" s="186">
        <f>SUMIFS('Plan prihoda za unos u SAP'!$G$3:$G$501,'Plan prihoda za unos u SAP'!$C$3:$C$501,"=63",'Plan prihoda za unos u SAP'!$K$3:$K$501,"=634")</f>
        <v>0</v>
      </c>
      <c r="V14" s="186">
        <f>SUMIFS('Plan prihoda za unos u SAP'!$G$3:$G$501,'Plan prihoda za unos u SAP'!$C$3:$C$501,"=71",'Plan prihoda za unos u SAP'!$K$3:$K$501,"=634")</f>
        <v>0</v>
      </c>
      <c r="W14" s="186">
        <f>SUMIFS('Plan prihoda za unos u SAP'!$G$3:$G$501,'Plan prihoda za unos u SAP'!$C$3:$C$501,"=81",'Plan prihoda za unos u SAP'!$K$3:$K$501,"=634")</f>
        <v>0</v>
      </c>
    </row>
    <row r="15" spans="1:29" s="90" customFormat="1">
      <c r="A15" s="90">
        <v>2021</v>
      </c>
      <c r="B15" s="206" t="s">
        <v>736</v>
      </c>
      <c r="C15" s="96" t="s">
        <v>737</v>
      </c>
      <c r="D15" s="70">
        <f t="shared" si="0"/>
        <v>0</v>
      </c>
      <c r="E15" s="186">
        <f>SUMIFS('Plan prihoda za unos u SAP'!$G$3:$G$501,'Plan prihoda za unos u SAP'!$C$3:$C$501,"=11",'Plan prihoda za unos u SAP'!$K$3:$K$501,"=636")</f>
        <v>0</v>
      </c>
      <c r="F15" s="186">
        <f>SUMIFS('Plan prihoda za unos u SAP'!$G$3:$G$501,'Plan prihoda za unos u SAP'!$C$3:$C$501,"=12",'Plan prihoda za unos u SAP'!$K$3:$K$501,"=636")</f>
        <v>0</v>
      </c>
      <c r="G15" s="186">
        <f>SUMIFS('Plan prihoda za unos u SAP'!$G$3:$G$501,'Plan prihoda za unos u SAP'!$C$3:$C$501,"=31",'Plan prihoda za unos u SAP'!$K$3:$K$501,"=636")</f>
        <v>0</v>
      </c>
      <c r="H15" s="186">
        <f>SUMIFS('Plan prihoda za unos u SAP'!$G$3:$G$501,'Plan prihoda za unos u SAP'!$C$3:$C$501,"=41",'Plan prihoda za unos u SAP'!$K$3:$K$501,"=636")</f>
        <v>0</v>
      </c>
      <c r="I15" s="186">
        <f>SUMIFS('Plan prihoda za unos u SAP'!$G$3:$G$501,'Plan prihoda za unos u SAP'!$C$3:$C$501,"=43",'Plan prihoda za unos u SAP'!$K$3:$K$501,"=636")</f>
        <v>0</v>
      </c>
      <c r="J15" s="186">
        <f>SUMIFS('Plan prihoda za unos u SAP'!$G$3:$G$501,'Plan prihoda za unos u SAP'!$C$3:$C$501,"=51",'Plan prihoda za unos u SAP'!$K$3:$K$501,"=636")</f>
        <v>0</v>
      </c>
      <c r="K15" s="186">
        <f>SUMIFS('Plan prihoda za unos u SAP'!$G$3:$G$501,'Plan prihoda za unos u SAP'!$C$3:$C$501,"=52",'Plan prihoda za unos u SAP'!$K$3:$K$501,"=636")</f>
        <v>0</v>
      </c>
      <c r="L15" s="186">
        <f>SUMIFS('Plan prihoda za unos u SAP'!$G$3:$G$501,'Plan prihoda za unos u SAP'!$C$3:$C$501,"=552",'Plan prihoda za unos u SAP'!$K$3:$K$501,"=636")</f>
        <v>0</v>
      </c>
      <c r="M15" s="186">
        <f>SUMIFS('Plan prihoda za unos u SAP'!$G$3:$G$501,'Plan prihoda za unos u SAP'!$C$3:$C$501,"=559",'Plan prihoda za unos u SAP'!$K$3:$K$501,"=636")</f>
        <v>0</v>
      </c>
      <c r="N15" s="186">
        <f>SUMIFS('Plan prihoda za unos u SAP'!$G$3:$G$501,'Plan prihoda za unos u SAP'!$C$3:$C$501,"=561",'Plan prihoda za unos u SAP'!$K$3:$K$501,"=636")</f>
        <v>0</v>
      </c>
      <c r="O15" s="186">
        <f>SUMIFS('Plan prihoda za unos u SAP'!$G$3:$G$501,'Plan prihoda za unos u SAP'!$C$3:$C$501,"=563",'Plan prihoda za unos u SAP'!$K$3:$K$501,"=636")</f>
        <v>0</v>
      </c>
      <c r="P15" s="186">
        <f>SUMIFS('Plan prihoda za unos u SAP'!$G$3:$G$501,'Plan prihoda za unos u SAP'!$C$3:$C$501,"=573",'Plan prihoda za unos u SAP'!$K$3:$K$501,"=636")</f>
        <v>0</v>
      </c>
      <c r="Q15" s="186">
        <f>SUMIFS('Plan prihoda za unos u SAP'!$G$3:$G$501,'Plan prihoda za unos u SAP'!$C$3:$C$501,"=575",'Plan prihoda za unos u SAP'!$K$3:$K$501,"=636")</f>
        <v>0</v>
      </c>
      <c r="R15" s="186">
        <f>SUMIFS('Plan prihoda za unos u SAP'!$G$3:$G$501,'Plan prihoda za unos u SAP'!$C$3:$C$501,"=576",'Plan prihoda za unos u SAP'!$K$3:$K$501,"=636")</f>
        <v>0</v>
      </c>
      <c r="S15" s="186">
        <f>SUMIFS('Plan prihoda za unos u SAP'!$G$3:$G$501,'Plan prihoda za unos u SAP'!$C$3:$C$501,"=581",'Plan prihoda za unos u SAP'!$K$3:$K$501,"=636")</f>
        <v>0</v>
      </c>
      <c r="T15" s="186">
        <f>SUMIFS('Plan prihoda za unos u SAP'!$G$3:$G$501,'Plan prihoda za unos u SAP'!$C$3:$C$501,"=61",'Plan prihoda za unos u SAP'!$K$3:$K$501,"=636")</f>
        <v>0</v>
      </c>
      <c r="U15" s="186">
        <f>SUMIFS('Plan prihoda za unos u SAP'!$G$3:$G$501,'Plan prihoda za unos u SAP'!$C$3:$C$501,"=63",'Plan prihoda za unos u SAP'!$K$3:$K$501,"=636")</f>
        <v>0</v>
      </c>
      <c r="V15" s="186">
        <f>SUMIFS('Plan prihoda za unos u SAP'!$G$3:$G$501,'Plan prihoda za unos u SAP'!$C$3:$C$501,"=71",'Plan prihoda za unos u SAP'!$K$3:$K$501,"=636")</f>
        <v>0</v>
      </c>
      <c r="W15" s="186">
        <f>SUMIFS('Plan prihoda za unos u SAP'!$G$3:$G$501,'Plan prihoda za unos u SAP'!$C$3:$C$501,"=81",'Plan prihoda za unos u SAP'!$K$3:$K$501,"=636")</f>
        <v>0</v>
      </c>
    </row>
    <row r="16" spans="1:29" s="90" customFormat="1">
      <c r="A16" s="90">
        <v>2021</v>
      </c>
      <c r="B16" s="95" t="s">
        <v>281</v>
      </c>
      <c r="C16" s="96" t="s">
        <v>282</v>
      </c>
      <c r="D16" s="70">
        <f t="shared" si="0"/>
        <v>0</v>
      </c>
      <c r="E16" s="186">
        <f>SUMIFS('Plan prihoda za unos u SAP'!$G$3:$G$501,'Plan prihoda za unos u SAP'!$C$3:$C$501,"=11",'Plan prihoda za unos u SAP'!$K$3:$K$501,"=638")</f>
        <v>0</v>
      </c>
      <c r="F16" s="186">
        <f>SUMIFS('Plan prihoda za unos u SAP'!$G$3:$G$501,'Plan prihoda za unos u SAP'!$C$3:$C$501,"=12",'Plan prihoda za unos u SAP'!$K$3:$K$501,"=638")</f>
        <v>0</v>
      </c>
      <c r="G16" s="186">
        <f>SUMIFS('Plan prihoda za unos u SAP'!$G$3:$G$501,'Plan prihoda za unos u SAP'!$C$3:$C$501,"=31",'Plan prihoda za unos u SAP'!$K$3:$K$501,"=638")</f>
        <v>0</v>
      </c>
      <c r="H16" s="186">
        <f>SUMIFS('Plan prihoda za unos u SAP'!$G$3:$G$501,'Plan prihoda za unos u SAP'!$C$3:$C$501,"=41",'Plan prihoda za unos u SAP'!$K$3:$K$501,"=638")</f>
        <v>0</v>
      </c>
      <c r="I16" s="186">
        <f>SUMIFS('Plan prihoda za unos u SAP'!$G$3:$G$501,'Plan prihoda za unos u SAP'!$C$3:$C$501,"=43",'Plan prihoda za unos u SAP'!$K$3:$K$501,"=638")</f>
        <v>0</v>
      </c>
      <c r="J16" s="186">
        <f>SUMIFS('Plan prihoda za unos u SAP'!$G$3:$G$501,'Plan prihoda za unos u SAP'!$C$3:$C$501,"=51",'Plan prihoda za unos u SAP'!$K$3:$K$501,"=638")</f>
        <v>0</v>
      </c>
      <c r="K16" s="186">
        <f>SUMIFS('Plan prihoda za unos u SAP'!$G$3:$G$501,'Plan prihoda za unos u SAP'!$C$3:$C$501,"=52",'Plan prihoda za unos u SAP'!$K$3:$K$501,"=638")</f>
        <v>0</v>
      </c>
      <c r="L16" s="186">
        <f>SUMIFS('Plan prihoda za unos u SAP'!$G$3:$G$501,'Plan prihoda za unos u SAP'!$C$3:$C$501,"=552",'Plan prihoda za unos u SAP'!$K$3:$K$501,"=638")</f>
        <v>0</v>
      </c>
      <c r="M16" s="186">
        <f>SUMIFS('Plan prihoda za unos u SAP'!$G$3:$G$501,'Plan prihoda za unos u SAP'!$C$3:$C$501,"=559",'Plan prihoda za unos u SAP'!$K$3:$K$501,"=638")</f>
        <v>0</v>
      </c>
      <c r="N16" s="186">
        <f>SUMIFS('Plan prihoda za unos u SAP'!$G$3:$G$501,'Plan prihoda za unos u SAP'!$C$3:$C$501,"=561",'Plan prihoda za unos u SAP'!$K$3:$K$501,"=638")</f>
        <v>0</v>
      </c>
      <c r="O16" s="186">
        <f>SUMIFS('Plan prihoda za unos u SAP'!$G$3:$G$501,'Plan prihoda za unos u SAP'!$C$3:$C$501,"=563",'Plan prihoda za unos u SAP'!$K$3:$K$501,"=638")</f>
        <v>0</v>
      </c>
      <c r="P16" s="186">
        <f>SUMIFS('Plan prihoda za unos u SAP'!$G$3:$G$501,'Plan prihoda za unos u SAP'!$C$3:$C$501,"=573",'Plan prihoda za unos u SAP'!$K$3:$K$501,"=638")</f>
        <v>0</v>
      </c>
      <c r="Q16" s="186">
        <f>SUMIFS('Plan prihoda za unos u SAP'!$G$3:$G$501,'Plan prihoda za unos u SAP'!$C$3:$C$501,"=575",'Plan prihoda za unos u SAP'!$K$3:$K$501,"=638")</f>
        <v>0</v>
      </c>
      <c r="R16" s="186">
        <f>SUMIFS('Plan prihoda za unos u SAP'!$G$3:$G$501,'Plan prihoda za unos u SAP'!$C$3:$C$501,"=576",'Plan prihoda za unos u SAP'!$K$3:$K$501,"=638")</f>
        <v>0</v>
      </c>
      <c r="S16" s="186">
        <f>SUMIFS('Plan prihoda za unos u SAP'!$G$3:$G$501,'Plan prihoda za unos u SAP'!$C$3:$C$501,"=581",'Plan prihoda za unos u SAP'!$K$3:$K$501,"=638")</f>
        <v>0</v>
      </c>
      <c r="T16" s="186">
        <f>SUMIFS('Plan prihoda za unos u SAP'!$G$3:$G$501,'Plan prihoda za unos u SAP'!$C$3:$C$501,"=61",'Plan prihoda za unos u SAP'!$K$3:$K$501,"=638")</f>
        <v>0</v>
      </c>
      <c r="U16" s="186">
        <f>SUMIFS('Plan prihoda za unos u SAP'!$G$3:$G$501,'Plan prihoda za unos u SAP'!$C$3:$C$501,"=63",'Plan prihoda za unos u SAP'!$K$3:$K$501,"=638")</f>
        <v>0</v>
      </c>
      <c r="V16" s="186">
        <f>SUMIFS('Plan prihoda za unos u SAP'!$G$3:$G$501,'Plan prihoda za unos u SAP'!$C$3:$C$501,"=71",'Plan prihoda za unos u SAP'!$K$3:$K$501,"=638")</f>
        <v>0</v>
      </c>
      <c r="W16" s="186">
        <f>SUMIFS('Plan prihoda za unos u SAP'!$G$3:$G$501,'Plan prihoda za unos u SAP'!$C$3:$C$501,"=81",'Plan prihoda za unos u SAP'!$K$3:$K$501,"=638")</f>
        <v>0</v>
      </c>
    </row>
    <row r="17" spans="1:23" s="90" customFormat="1">
      <c r="A17" s="90">
        <v>2021</v>
      </c>
      <c r="B17" s="95" t="s">
        <v>283</v>
      </c>
      <c r="C17" s="96" t="s">
        <v>41</v>
      </c>
      <c r="D17" s="70">
        <f t="shared" si="0"/>
        <v>125000</v>
      </c>
      <c r="E17" s="186">
        <f>SUMIFS('Plan prihoda za unos u SAP'!$G$3:$G$501,'Plan prihoda za unos u SAP'!$C$3:$C$501,"=11",'Plan prihoda za unos u SAP'!$K$3:$K$501,"=639")</f>
        <v>0</v>
      </c>
      <c r="F17" s="186">
        <f>SUMIFS('Plan prihoda za unos u SAP'!$G$3:$G$501,'Plan prihoda za unos u SAP'!$C$3:$C$501,"=12",'Plan prihoda za unos u SAP'!$K$3:$K$501,"=639")</f>
        <v>0</v>
      </c>
      <c r="G17" s="186">
        <f>SUMIFS('Plan prihoda za unos u SAP'!$G$3:$G$501,'Plan prihoda za unos u SAP'!$C$3:$C$501,"=31",'Plan prihoda za unos u SAP'!$K$3:$K$501,"=639")</f>
        <v>0</v>
      </c>
      <c r="H17" s="186">
        <f>SUMIFS('Plan prihoda za unos u SAP'!$G$3:$G$501,'Plan prihoda za unos u SAP'!$C$3:$C$501,"=41",'Plan prihoda za unos u SAP'!$K$3:$K$501,"=639")</f>
        <v>0</v>
      </c>
      <c r="I17" s="186">
        <f>SUMIFS('Plan prihoda za unos u SAP'!$G$3:$G$501,'Plan prihoda za unos u SAP'!$C$3:$C$501,"=43",'Plan prihoda za unos u SAP'!$K$3:$K$501,"=639")</f>
        <v>0</v>
      </c>
      <c r="J17" s="186">
        <f>SUMIFS('Plan prihoda za unos u SAP'!$G$3:$G$501,'Plan prihoda za unos u SAP'!$C$3:$C$501,"=51",'Plan prihoda za unos u SAP'!$K$3:$K$501,"=639")</f>
        <v>0</v>
      </c>
      <c r="K17" s="186">
        <f>SUMIFS('Plan prihoda za unos u SAP'!$G$3:$G$501,'Plan prihoda za unos u SAP'!$C$3:$C$501,"=52",'Plan prihoda za unos u SAP'!$K$3:$K$501,"=639")</f>
        <v>125000</v>
      </c>
      <c r="L17" s="186">
        <f>SUMIFS('Plan prihoda za unos u SAP'!$G$3:$G$501,'Plan prihoda za unos u SAP'!$C$3:$C$501,"=552",'Plan prihoda za unos u SAP'!$K$3:$K$501,"=639")</f>
        <v>0</v>
      </c>
      <c r="M17" s="186">
        <f>SUMIFS('Plan prihoda za unos u SAP'!$G$3:$G$501,'Plan prihoda za unos u SAP'!$C$3:$C$501,"=559",'Plan prihoda za unos u SAP'!$K$3:$K$501,"=639")</f>
        <v>0</v>
      </c>
      <c r="N17" s="186">
        <f>SUMIFS('Plan prihoda za unos u SAP'!$G$3:$G$501,'Plan prihoda za unos u SAP'!$C$3:$C$501,"=561",'Plan prihoda za unos u SAP'!$K$3:$K$501,"=639")</f>
        <v>0</v>
      </c>
      <c r="O17" s="186">
        <f>SUMIFS('Plan prihoda za unos u SAP'!$G$3:$G$501,'Plan prihoda za unos u SAP'!$C$3:$C$501,"=563",'Plan prihoda za unos u SAP'!$K$3:$K$501,"=639")</f>
        <v>0</v>
      </c>
      <c r="P17" s="186">
        <f>SUMIFS('Plan prihoda za unos u SAP'!$G$3:$G$501,'Plan prihoda za unos u SAP'!$C$3:$C$501,"=573",'Plan prihoda za unos u SAP'!$K$3:$K$501,"=639")</f>
        <v>0</v>
      </c>
      <c r="Q17" s="186">
        <f>SUMIFS('Plan prihoda za unos u SAP'!$G$3:$G$501,'Plan prihoda za unos u SAP'!$C$3:$C$501,"=575",'Plan prihoda za unos u SAP'!$K$3:$K$501,"=639")</f>
        <v>0</v>
      </c>
      <c r="R17" s="186">
        <f>SUMIFS('Plan prihoda za unos u SAP'!$G$3:$G$501,'Plan prihoda za unos u SAP'!$C$3:$C$501,"=576",'Plan prihoda za unos u SAP'!$K$3:$K$501,"=639")</f>
        <v>0</v>
      </c>
      <c r="S17" s="186">
        <f>SUMIFS('Plan prihoda za unos u SAP'!$G$3:$G$501,'Plan prihoda za unos u SAP'!$C$3:$C$501,"=581",'Plan prihoda za unos u SAP'!$K$3:$K$501,"=639")</f>
        <v>0</v>
      </c>
      <c r="T17" s="186">
        <f>SUMIFS('Plan prihoda za unos u SAP'!$G$3:$G$501,'Plan prihoda za unos u SAP'!$C$3:$C$501,"=61",'Plan prihoda za unos u SAP'!$K$3:$K$501,"=639")</f>
        <v>0</v>
      </c>
      <c r="U17" s="186">
        <f>SUMIFS('Plan prihoda za unos u SAP'!$G$3:$G$501,'Plan prihoda za unos u SAP'!$C$3:$C$501,"=63",'Plan prihoda za unos u SAP'!$K$3:$K$501,"=639")</f>
        <v>0</v>
      </c>
      <c r="V17" s="186">
        <f>SUMIFS('Plan prihoda za unos u SAP'!$G$3:$G$501,'Plan prihoda za unos u SAP'!$C$3:$C$501,"=71",'Plan prihoda za unos u SAP'!$K$3:$K$501,"=639")</f>
        <v>0</v>
      </c>
      <c r="W17" s="186">
        <f>SUMIFS('Plan prihoda za unos u SAP'!$G$3:$G$501,'Plan prihoda za unos u SAP'!$C$3:$C$501,"=81",'Plan prihoda za unos u SAP'!$K$3:$K$501,"=639")</f>
        <v>0</v>
      </c>
    </row>
    <row r="18" spans="1:23" s="90" customFormat="1">
      <c r="A18" s="90">
        <v>2021</v>
      </c>
      <c r="B18" s="95" t="s">
        <v>284</v>
      </c>
      <c r="C18" s="96" t="s">
        <v>285</v>
      </c>
      <c r="D18" s="70">
        <f t="shared" si="0"/>
        <v>4000</v>
      </c>
      <c r="E18" s="186">
        <f>SUMIFS('Plan prihoda za unos u SAP'!$G$3:$G$501,'Plan prihoda za unos u SAP'!$C$3:$C$501,"=11",'Plan prihoda za unos u SAP'!$K$3:$K$501,"=641")</f>
        <v>0</v>
      </c>
      <c r="F18" s="186">
        <f>SUMIFS('Plan prihoda za unos u SAP'!$G$3:$G$501,'Plan prihoda za unos u SAP'!$C$3:$C$501,"=12",'Plan prihoda za unos u SAP'!$K$3:$K$501,"=641")</f>
        <v>0</v>
      </c>
      <c r="G18" s="186">
        <f>SUMIFS('Plan prihoda za unos u SAP'!$G$3:$G$501,'Plan prihoda za unos u SAP'!$C$3:$C$501,"=31",'Plan prihoda za unos u SAP'!$K$3:$K$501,"=641")</f>
        <v>4000</v>
      </c>
      <c r="H18" s="186">
        <f>SUMIFS('Plan prihoda za unos u SAP'!$G$3:$G$501,'Plan prihoda za unos u SAP'!$C$3:$C$501,"=41",'Plan prihoda za unos u SAP'!$K$3:$K$501,"=641")</f>
        <v>0</v>
      </c>
      <c r="I18" s="186">
        <f>SUMIFS('Plan prihoda za unos u SAP'!$G$3:$G$501,'Plan prihoda za unos u SAP'!$C$3:$C$501,"=43",'Plan prihoda za unos u SAP'!$K$3:$K$501,"=641")</f>
        <v>0</v>
      </c>
      <c r="J18" s="186">
        <f>SUMIFS('Plan prihoda za unos u SAP'!$G$3:$G$501,'Plan prihoda za unos u SAP'!$C$3:$C$501,"=51",'Plan prihoda za unos u SAP'!$K$3:$K$501,"=641")</f>
        <v>0</v>
      </c>
      <c r="K18" s="186">
        <f>SUMIFS('Plan prihoda za unos u SAP'!$G$3:$G$501,'Plan prihoda za unos u SAP'!$C$3:$C$501,"=52",'Plan prihoda za unos u SAP'!$K$3:$K$501,"=641")</f>
        <v>0</v>
      </c>
      <c r="L18" s="186">
        <f>SUMIFS('Plan prihoda za unos u SAP'!$G$3:$G$501,'Plan prihoda za unos u SAP'!$C$3:$C$501,"=552",'Plan prihoda za unos u SAP'!$K$3:$K$501,"=641")</f>
        <v>0</v>
      </c>
      <c r="M18" s="186">
        <f>SUMIFS('Plan prihoda za unos u SAP'!$G$3:$G$501,'Plan prihoda za unos u SAP'!$C$3:$C$501,"=559",'Plan prihoda za unos u SAP'!$K$3:$K$501,"=641")</f>
        <v>0</v>
      </c>
      <c r="N18" s="186">
        <f>SUMIFS('Plan prihoda za unos u SAP'!$G$3:$G$501,'Plan prihoda za unos u SAP'!$C$3:$C$501,"=561",'Plan prihoda za unos u SAP'!$K$3:$K$501,"=641")</f>
        <v>0</v>
      </c>
      <c r="O18" s="186">
        <f>SUMIFS('Plan prihoda za unos u SAP'!$G$3:$G$501,'Plan prihoda za unos u SAP'!$C$3:$C$501,"=563",'Plan prihoda za unos u SAP'!$K$3:$K$501,"=641")</f>
        <v>0</v>
      </c>
      <c r="P18" s="186">
        <f>SUMIFS('Plan prihoda za unos u SAP'!$G$3:$G$501,'Plan prihoda za unos u SAP'!$C$3:$C$501,"=573",'Plan prihoda za unos u SAP'!$K$3:$K$501,"=641")</f>
        <v>0</v>
      </c>
      <c r="Q18" s="186">
        <f>SUMIFS('Plan prihoda za unos u SAP'!$G$3:$G$501,'Plan prihoda za unos u SAP'!$C$3:$C$501,"=575",'Plan prihoda za unos u SAP'!$K$3:$K$501,"=641")</f>
        <v>0</v>
      </c>
      <c r="R18" s="186">
        <f>SUMIFS('Plan prihoda za unos u SAP'!$G$3:$G$501,'Plan prihoda za unos u SAP'!$C$3:$C$501,"=576",'Plan prihoda za unos u SAP'!$K$3:$K$501,"=641")</f>
        <v>0</v>
      </c>
      <c r="S18" s="186">
        <f>SUMIFS('Plan prihoda za unos u SAP'!$G$3:$G$501,'Plan prihoda za unos u SAP'!$C$3:$C$501,"=581",'Plan prihoda za unos u SAP'!$K$3:$K$501,"=641")</f>
        <v>0</v>
      </c>
      <c r="T18" s="186">
        <f>SUMIFS('Plan prihoda za unos u SAP'!$G$3:$G$501,'Plan prihoda za unos u SAP'!$C$3:$C$501,"=61",'Plan prihoda za unos u SAP'!$K$3:$K$501,"=641")</f>
        <v>0</v>
      </c>
      <c r="U18" s="186">
        <f>SUMIFS('Plan prihoda za unos u SAP'!$G$3:$G$501,'Plan prihoda za unos u SAP'!$C$3:$C$501,"=63",'Plan prihoda za unos u SAP'!$K$3:$K$501,"=641")</f>
        <v>0</v>
      </c>
      <c r="V18" s="186">
        <f>SUMIFS('Plan prihoda za unos u SAP'!$G$3:$G$501,'Plan prihoda za unos u SAP'!$C$3:$C$501,"=71",'Plan prihoda za unos u SAP'!$K$3:$K$501,"=641")</f>
        <v>0</v>
      </c>
      <c r="W18" s="186">
        <f>SUMIFS('Plan prihoda za unos u SAP'!$G$3:$G$501,'Plan prihoda za unos u SAP'!$C$3:$C$501,"=81",'Plan prihoda za unos u SAP'!$K$3:$K$501,"=641")</f>
        <v>0</v>
      </c>
    </row>
    <row r="19" spans="1:23" s="90" customFormat="1">
      <c r="A19" s="90">
        <v>2021</v>
      </c>
      <c r="B19" s="95" t="s">
        <v>286</v>
      </c>
      <c r="C19" s="96" t="s">
        <v>287</v>
      </c>
      <c r="D19" s="70">
        <f t="shared" si="0"/>
        <v>0</v>
      </c>
      <c r="E19" s="186">
        <f>SUMIFS('Plan prihoda za unos u SAP'!$G$3:$G$501,'Plan prihoda za unos u SAP'!$C$3:$C$501,"=11",'Plan prihoda za unos u SAP'!$K$3:$K$501,"=642")</f>
        <v>0</v>
      </c>
      <c r="F19" s="186">
        <f>SUMIFS('Plan prihoda za unos u SAP'!$G$3:$G$501,'Plan prihoda za unos u SAP'!$C$3:$C$501,"=12",'Plan prihoda za unos u SAP'!$K$3:$K$501,"=642")</f>
        <v>0</v>
      </c>
      <c r="G19" s="186">
        <f>SUMIFS('Plan prihoda za unos u SAP'!$G$3:$G$501,'Plan prihoda za unos u SAP'!$C$3:$C$501,"=31",'Plan prihoda za unos u SAP'!$K$3:$K$501,"=642")</f>
        <v>0</v>
      </c>
      <c r="H19" s="186">
        <f>SUMIFS('Plan prihoda za unos u SAP'!$G$3:$G$501,'Plan prihoda za unos u SAP'!$C$3:$C$501,"=41",'Plan prihoda za unos u SAP'!$K$3:$K$501,"=642")</f>
        <v>0</v>
      </c>
      <c r="I19" s="186">
        <f>SUMIFS('Plan prihoda za unos u SAP'!$G$3:$G$501,'Plan prihoda za unos u SAP'!$C$3:$C$501,"=43",'Plan prihoda za unos u SAP'!$K$3:$K$501,"=642")</f>
        <v>0</v>
      </c>
      <c r="J19" s="186">
        <f>SUMIFS('Plan prihoda za unos u SAP'!$G$3:$G$501,'Plan prihoda za unos u SAP'!$C$3:$C$501,"=51",'Plan prihoda za unos u SAP'!$K$3:$K$501,"=642")</f>
        <v>0</v>
      </c>
      <c r="K19" s="186">
        <f>SUMIFS('Plan prihoda za unos u SAP'!$G$3:$G$501,'Plan prihoda za unos u SAP'!$C$3:$C$501,"=52",'Plan prihoda za unos u SAP'!$K$3:$K$501,"=642")</f>
        <v>0</v>
      </c>
      <c r="L19" s="186">
        <f>SUMIFS('Plan prihoda za unos u SAP'!$G$3:$G$501,'Plan prihoda za unos u SAP'!$C$3:$C$501,"=552",'Plan prihoda za unos u SAP'!$K$3:$K$501,"=642")</f>
        <v>0</v>
      </c>
      <c r="M19" s="186">
        <f>SUMIFS('Plan prihoda za unos u SAP'!$G$3:$G$501,'Plan prihoda za unos u SAP'!$C$3:$C$501,"=559",'Plan prihoda za unos u SAP'!$K$3:$K$501,"=642")</f>
        <v>0</v>
      </c>
      <c r="N19" s="186">
        <f>SUMIFS('Plan prihoda za unos u SAP'!$G$3:$G$501,'Plan prihoda za unos u SAP'!$C$3:$C$501,"=561",'Plan prihoda za unos u SAP'!$K$3:$K$501,"=642")</f>
        <v>0</v>
      </c>
      <c r="O19" s="186">
        <f>SUMIFS('Plan prihoda za unos u SAP'!$G$3:$G$501,'Plan prihoda za unos u SAP'!$C$3:$C$501,"=563",'Plan prihoda za unos u SAP'!$K$3:$K$501,"=642")</f>
        <v>0</v>
      </c>
      <c r="P19" s="186">
        <f>SUMIFS('Plan prihoda za unos u SAP'!$G$3:$G$501,'Plan prihoda za unos u SAP'!$C$3:$C$501,"=573",'Plan prihoda za unos u SAP'!$K$3:$K$501,"=642")</f>
        <v>0</v>
      </c>
      <c r="Q19" s="186">
        <f>SUMIFS('Plan prihoda za unos u SAP'!$G$3:$G$501,'Plan prihoda za unos u SAP'!$C$3:$C$501,"=575",'Plan prihoda za unos u SAP'!$K$3:$K$501,"=642")</f>
        <v>0</v>
      </c>
      <c r="R19" s="186">
        <f>SUMIFS('Plan prihoda za unos u SAP'!$G$3:$G$501,'Plan prihoda za unos u SAP'!$C$3:$C$501,"=576",'Plan prihoda za unos u SAP'!$K$3:$K$501,"=642")</f>
        <v>0</v>
      </c>
      <c r="S19" s="186">
        <f>SUMIFS('Plan prihoda za unos u SAP'!$G$3:$G$501,'Plan prihoda za unos u SAP'!$C$3:$C$501,"=581",'Plan prihoda za unos u SAP'!$K$3:$K$501,"=642")</f>
        <v>0</v>
      </c>
      <c r="T19" s="186">
        <f>SUMIFS('Plan prihoda za unos u SAP'!$G$3:$G$501,'Plan prihoda za unos u SAP'!$C$3:$C$501,"=61",'Plan prihoda za unos u SAP'!$K$3:$K$501,"=642")</f>
        <v>0</v>
      </c>
      <c r="U19" s="186">
        <f>SUMIFS('Plan prihoda za unos u SAP'!$G$3:$G$501,'Plan prihoda za unos u SAP'!$C$3:$C$501,"=63",'Plan prihoda za unos u SAP'!$K$3:$K$501,"=642")</f>
        <v>0</v>
      </c>
      <c r="V19" s="186">
        <f>SUMIFS('Plan prihoda za unos u SAP'!$G$3:$G$501,'Plan prihoda za unos u SAP'!$C$3:$C$501,"=71",'Plan prihoda za unos u SAP'!$K$3:$K$501,"=642")</f>
        <v>0</v>
      </c>
      <c r="W19" s="186">
        <f>SUMIFS('Plan prihoda za unos u SAP'!$G$3:$G$501,'Plan prihoda za unos u SAP'!$C$3:$C$501,"=81",'Plan prihoda za unos u SAP'!$K$3:$K$501,"=642")</f>
        <v>0</v>
      </c>
    </row>
    <row r="20" spans="1:23" s="90" customFormat="1">
      <c r="A20" s="90">
        <v>2021</v>
      </c>
      <c r="B20" s="206" t="s">
        <v>739</v>
      </c>
      <c r="C20" s="96" t="s">
        <v>738</v>
      </c>
      <c r="D20" s="70">
        <f t="shared" si="0"/>
        <v>0</v>
      </c>
      <c r="E20" s="186">
        <f>SUMIFS('Plan prihoda za unos u SAP'!$G$3:$G$501,'Plan prihoda za unos u SAP'!$C$3:$C$501,"=11",'Plan prihoda za unos u SAP'!$K$3:$K$501,"=651")</f>
        <v>0</v>
      </c>
      <c r="F20" s="186">
        <f>SUMIFS('Plan prihoda za unos u SAP'!$G$3:$G$501,'Plan prihoda za unos u SAP'!$C$3:$C$501,"=12",'Plan prihoda za unos u SAP'!$K$3:$K$501,"=651")</f>
        <v>0</v>
      </c>
      <c r="G20" s="186">
        <f>SUMIFS('Plan prihoda za unos u SAP'!$G$3:$G$501,'Plan prihoda za unos u SAP'!$C$3:$C$501,"=31",'Plan prihoda za unos u SAP'!$K$3:$K$501,"=651")</f>
        <v>0</v>
      </c>
      <c r="H20" s="186">
        <f>SUMIFS('Plan prihoda za unos u SAP'!$G$3:$G$501,'Plan prihoda za unos u SAP'!$C$3:$C$501,"=41",'Plan prihoda za unos u SAP'!$K$3:$K$501,"=651")</f>
        <v>0</v>
      </c>
      <c r="I20" s="186">
        <f>SUMIFS('Plan prihoda za unos u SAP'!$G$3:$G$501,'Plan prihoda za unos u SAP'!$C$3:$C$501,"=43",'Plan prihoda za unos u SAP'!$K$3:$K$501,"=651")</f>
        <v>0</v>
      </c>
      <c r="J20" s="186">
        <f>SUMIFS('Plan prihoda za unos u SAP'!$G$3:$G$501,'Plan prihoda za unos u SAP'!$C$3:$C$501,"=51",'Plan prihoda za unos u SAP'!$K$3:$K$501,"=651")</f>
        <v>0</v>
      </c>
      <c r="K20" s="186">
        <f>SUMIFS('Plan prihoda za unos u SAP'!$G$3:$G$501,'Plan prihoda za unos u SAP'!$C$3:$C$501,"=52",'Plan prihoda za unos u SAP'!$K$3:$K$501,"=651")</f>
        <v>0</v>
      </c>
      <c r="L20" s="186">
        <f>SUMIFS('Plan prihoda za unos u SAP'!$G$3:$G$501,'Plan prihoda za unos u SAP'!$C$3:$C$501,"=552",'Plan prihoda za unos u SAP'!$K$3:$K$501,"=651")</f>
        <v>0</v>
      </c>
      <c r="M20" s="186">
        <f>SUMIFS('Plan prihoda za unos u SAP'!$G$3:$G$501,'Plan prihoda za unos u SAP'!$C$3:$C$501,"=559",'Plan prihoda za unos u SAP'!$K$3:$K$501,"=651")</f>
        <v>0</v>
      </c>
      <c r="N20" s="186">
        <f>SUMIFS('Plan prihoda za unos u SAP'!$G$3:$G$501,'Plan prihoda za unos u SAP'!$C$3:$C$501,"=561",'Plan prihoda za unos u SAP'!$K$3:$K$501,"=651")</f>
        <v>0</v>
      </c>
      <c r="O20" s="186">
        <f>SUMIFS('Plan prihoda za unos u SAP'!$G$3:$G$501,'Plan prihoda za unos u SAP'!$C$3:$C$501,"=563",'Plan prihoda za unos u SAP'!$K$3:$K$501,"=651")</f>
        <v>0</v>
      </c>
      <c r="P20" s="186">
        <f>SUMIFS('Plan prihoda za unos u SAP'!$G$3:$G$501,'Plan prihoda za unos u SAP'!$C$3:$C$501,"=573",'Plan prihoda za unos u SAP'!$K$3:$K$501,"=651")</f>
        <v>0</v>
      </c>
      <c r="Q20" s="186">
        <f>SUMIFS('Plan prihoda za unos u SAP'!$G$3:$G$501,'Plan prihoda za unos u SAP'!$C$3:$C$501,"=575",'Plan prihoda za unos u SAP'!$K$3:$K$501,"=651")</f>
        <v>0</v>
      </c>
      <c r="R20" s="186">
        <f>SUMIFS('Plan prihoda za unos u SAP'!$G$3:$G$501,'Plan prihoda za unos u SAP'!$C$3:$C$501,"=576",'Plan prihoda za unos u SAP'!$K$3:$K$501,"=651")</f>
        <v>0</v>
      </c>
      <c r="S20" s="186">
        <f>SUMIFS('Plan prihoda za unos u SAP'!$G$3:$G$501,'Plan prihoda za unos u SAP'!$C$3:$C$501,"=581",'Plan prihoda za unos u SAP'!$K$3:$K$501,"=651")</f>
        <v>0</v>
      </c>
      <c r="T20" s="186">
        <f>SUMIFS('Plan prihoda za unos u SAP'!$G$3:$G$501,'Plan prihoda za unos u SAP'!$C$3:$C$501,"=61",'Plan prihoda za unos u SAP'!$K$3:$K$501,"=651")</f>
        <v>0</v>
      </c>
      <c r="U20" s="186">
        <f>SUMIFS('Plan prihoda za unos u SAP'!$G$3:$G$501,'Plan prihoda za unos u SAP'!$C$3:$C$501,"=63",'Plan prihoda za unos u SAP'!$K$3:$K$501,"=651")</f>
        <v>0</v>
      </c>
      <c r="V20" s="186">
        <f>SUMIFS('Plan prihoda za unos u SAP'!$G$3:$G$501,'Plan prihoda za unos u SAP'!$C$3:$C$501,"=71",'Plan prihoda za unos u SAP'!$K$3:$K$501,"=651")</f>
        <v>0</v>
      </c>
      <c r="W20" s="186">
        <f>SUMIFS('Plan prihoda za unos u SAP'!$G$3:$G$501,'Plan prihoda za unos u SAP'!$C$3:$C$501,"=81",'Plan prihoda za unos u SAP'!$K$3:$K$501,"=651")</f>
        <v>0</v>
      </c>
    </row>
    <row r="21" spans="1:23" s="90" customFormat="1">
      <c r="A21" s="90">
        <v>2021</v>
      </c>
      <c r="B21" s="95" t="s">
        <v>288</v>
      </c>
      <c r="C21" s="96" t="s">
        <v>289</v>
      </c>
      <c r="D21" s="70">
        <f t="shared" si="0"/>
        <v>12035000</v>
      </c>
      <c r="E21" s="186">
        <f>SUMIFS('Plan prihoda za unos u SAP'!$G$3:$G$501,'Plan prihoda za unos u SAP'!$C$3:$C$501,"=11",'Plan prihoda za unos u SAP'!$K$3:$K$501,"=652")</f>
        <v>0</v>
      </c>
      <c r="F21" s="186">
        <f>SUMIFS('Plan prihoda za unos u SAP'!$G$3:$G$501,'Plan prihoda za unos u SAP'!$C$3:$C$501,"=12",'Plan prihoda za unos u SAP'!$K$3:$K$501,"=652")</f>
        <v>0</v>
      </c>
      <c r="G21" s="186">
        <f>SUMIFS('Plan prihoda za unos u SAP'!$G$3:$G$501,'Plan prihoda za unos u SAP'!$C$3:$C$501,"=31",'Plan prihoda za unos u SAP'!$K$3:$K$501,"=652")</f>
        <v>0</v>
      </c>
      <c r="H21" s="186">
        <f>SUMIFS('Plan prihoda za unos u SAP'!$G$3:$G$501,'Plan prihoda za unos u SAP'!$C$3:$C$501,"=41",'Plan prihoda za unos u SAP'!$K$3:$K$501,"=652")</f>
        <v>0</v>
      </c>
      <c r="I21" s="186">
        <f>SUMIFS('Plan prihoda za unos u SAP'!$G$3:$G$501,'Plan prihoda za unos u SAP'!$C$3:$C$501,"=43",'Plan prihoda za unos u SAP'!$K$3:$K$501,"=652")</f>
        <v>12035000</v>
      </c>
      <c r="J21" s="186">
        <f>SUMIFS('Plan prihoda za unos u SAP'!$G$3:$G$501,'Plan prihoda za unos u SAP'!$C$3:$C$501,"=51",'Plan prihoda za unos u SAP'!$K$3:$K$501,"=652")</f>
        <v>0</v>
      </c>
      <c r="K21" s="186">
        <f>SUMIFS('Plan prihoda za unos u SAP'!$G$3:$G$501,'Plan prihoda za unos u SAP'!$C$3:$C$501,"=52",'Plan prihoda za unos u SAP'!$K$3:$K$501,"=652")</f>
        <v>0</v>
      </c>
      <c r="L21" s="186">
        <f>SUMIFS('Plan prihoda za unos u SAP'!$G$3:$G$501,'Plan prihoda za unos u SAP'!$C$3:$C$501,"=552",'Plan prihoda za unos u SAP'!$K$3:$K$501,"=652")</f>
        <v>0</v>
      </c>
      <c r="M21" s="186">
        <f>SUMIFS('Plan prihoda za unos u SAP'!$G$3:$G$501,'Plan prihoda za unos u SAP'!$C$3:$C$501,"=559",'Plan prihoda za unos u SAP'!$K$3:$K$501,"=652")</f>
        <v>0</v>
      </c>
      <c r="N21" s="186">
        <f>SUMIFS('Plan prihoda za unos u SAP'!$G$3:$G$501,'Plan prihoda za unos u SAP'!$C$3:$C$501,"=561",'Plan prihoda za unos u SAP'!$K$3:$K$501,"=652")</f>
        <v>0</v>
      </c>
      <c r="O21" s="186">
        <f>SUMIFS('Plan prihoda za unos u SAP'!$G$3:$G$501,'Plan prihoda za unos u SAP'!$C$3:$C$501,"=563",'Plan prihoda za unos u SAP'!$K$3:$K$501,"=652")</f>
        <v>0</v>
      </c>
      <c r="P21" s="186">
        <f>SUMIFS('Plan prihoda za unos u SAP'!$G$3:$G$501,'Plan prihoda za unos u SAP'!$C$3:$C$501,"=573",'Plan prihoda za unos u SAP'!$K$3:$K$501,"=652")</f>
        <v>0</v>
      </c>
      <c r="Q21" s="186">
        <f>SUMIFS('Plan prihoda za unos u SAP'!$G$3:$G$501,'Plan prihoda za unos u SAP'!$C$3:$C$501,"=575",'Plan prihoda za unos u SAP'!$K$3:$K$501,"=652")</f>
        <v>0</v>
      </c>
      <c r="R21" s="186">
        <f>SUMIFS('Plan prihoda za unos u SAP'!$G$3:$G$501,'Plan prihoda za unos u SAP'!$C$3:$C$501,"=576",'Plan prihoda za unos u SAP'!$K$3:$K$501,"=652")</f>
        <v>0</v>
      </c>
      <c r="S21" s="186">
        <f>SUMIFS('Plan prihoda za unos u SAP'!$G$3:$G$501,'Plan prihoda za unos u SAP'!$C$3:$C$501,"=581",'Plan prihoda za unos u SAP'!$K$3:$K$501,"=652")</f>
        <v>0</v>
      </c>
      <c r="T21" s="186">
        <f>SUMIFS('Plan prihoda za unos u SAP'!$G$3:$G$501,'Plan prihoda za unos u SAP'!$C$3:$C$501,"=61",'Plan prihoda za unos u SAP'!$K$3:$K$501,"=652")</f>
        <v>0</v>
      </c>
      <c r="U21" s="186">
        <f>SUMIFS('Plan prihoda za unos u SAP'!$G$3:$G$501,'Plan prihoda za unos u SAP'!$C$3:$C$501,"=63",'Plan prihoda za unos u SAP'!$K$3:$K$501,"=652")</f>
        <v>0</v>
      </c>
      <c r="V21" s="186">
        <f>SUMIFS('Plan prihoda za unos u SAP'!$G$3:$G$501,'Plan prihoda za unos u SAP'!$C$3:$C$501,"=71",'Plan prihoda za unos u SAP'!$K$3:$K$501,"=652")</f>
        <v>0</v>
      </c>
      <c r="W21" s="186">
        <f>SUMIFS('Plan prihoda za unos u SAP'!$G$3:$G$501,'Plan prihoda za unos u SAP'!$C$3:$C$501,"=81",'Plan prihoda za unos u SAP'!$K$3:$K$501,"=652")</f>
        <v>0</v>
      </c>
    </row>
    <row r="22" spans="1:23" s="90" customFormat="1">
      <c r="A22" s="90">
        <v>2021</v>
      </c>
      <c r="B22" s="95" t="s">
        <v>290</v>
      </c>
      <c r="C22" s="96" t="s">
        <v>291</v>
      </c>
      <c r="D22" s="70">
        <f t="shared" si="0"/>
        <v>684000</v>
      </c>
      <c r="E22" s="186">
        <f>SUMIFS('Plan prihoda za unos u SAP'!$G$3:$G$501,'Plan prihoda za unos u SAP'!$C$3:$C$501,"=11",'Plan prihoda za unos u SAP'!$K$3:$K$501,"=661")</f>
        <v>0</v>
      </c>
      <c r="F22" s="186">
        <f>SUMIFS('Plan prihoda za unos u SAP'!$G$3:$G$501,'Plan prihoda za unos u SAP'!$C$3:$C$501,"=12",'Plan prihoda za unos u SAP'!$K$3:$K$501,"=661")</f>
        <v>0</v>
      </c>
      <c r="G22" s="186">
        <f>SUMIFS('Plan prihoda za unos u SAP'!$G$3:$G$501,'Plan prihoda za unos u SAP'!$C$3:$C$501,"=31",'Plan prihoda za unos u SAP'!$K$3:$K$501,"=661")</f>
        <v>684000</v>
      </c>
      <c r="H22" s="186">
        <f>SUMIFS('Plan prihoda za unos u SAP'!$G$3:$G$501,'Plan prihoda za unos u SAP'!$C$3:$C$501,"=41",'Plan prihoda za unos u SAP'!$K$3:$K$501,"=661")</f>
        <v>0</v>
      </c>
      <c r="I22" s="186">
        <f>SUMIFS('Plan prihoda za unos u SAP'!$G$3:$G$501,'Plan prihoda za unos u SAP'!$C$3:$C$501,"=43",'Plan prihoda za unos u SAP'!$K$3:$K$501,"=661")</f>
        <v>0</v>
      </c>
      <c r="J22" s="186">
        <f>SUMIFS('Plan prihoda za unos u SAP'!$G$3:$G$501,'Plan prihoda za unos u SAP'!$C$3:$C$501,"=51",'Plan prihoda za unos u SAP'!$K$3:$K$501,"=661")</f>
        <v>0</v>
      </c>
      <c r="K22" s="186">
        <f>SUMIFS('Plan prihoda za unos u SAP'!$G$3:$G$501,'Plan prihoda za unos u SAP'!$C$3:$C$501,"=52",'Plan prihoda za unos u SAP'!$K$3:$K$501,"=661")</f>
        <v>0</v>
      </c>
      <c r="L22" s="186">
        <f>SUMIFS('Plan prihoda za unos u SAP'!$G$3:$G$501,'Plan prihoda za unos u SAP'!$C$3:$C$501,"=552",'Plan prihoda za unos u SAP'!$K$3:$K$501,"=661")</f>
        <v>0</v>
      </c>
      <c r="M22" s="186">
        <f>SUMIFS('Plan prihoda za unos u SAP'!$G$3:$G$501,'Plan prihoda za unos u SAP'!$C$3:$C$501,"=559",'Plan prihoda za unos u SAP'!$K$3:$K$501,"=661")</f>
        <v>0</v>
      </c>
      <c r="N22" s="186">
        <f>SUMIFS('Plan prihoda za unos u SAP'!$G$3:$G$501,'Plan prihoda za unos u SAP'!$C$3:$C$501,"=561",'Plan prihoda za unos u SAP'!$K$3:$K$501,"=661")</f>
        <v>0</v>
      </c>
      <c r="O22" s="186">
        <f>SUMIFS('Plan prihoda za unos u SAP'!$G$3:$G$501,'Plan prihoda za unos u SAP'!$C$3:$C$501,"=563",'Plan prihoda za unos u SAP'!$K$3:$K$501,"=661")</f>
        <v>0</v>
      </c>
      <c r="P22" s="186">
        <f>SUMIFS('Plan prihoda za unos u SAP'!$G$3:$G$501,'Plan prihoda za unos u SAP'!$C$3:$C$501,"=573",'Plan prihoda za unos u SAP'!$K$3:$K$501,"=661")</f>
        <v>0</v>
      </c>
      <c r="Q22" s="186">
        <f>SUMIFS('Plan prihoda za unos u SAP'!$G$3:$G$501,'Plan prihoda za unos u SAP'!$C$3:$C$501,"=575",'Plan prihoda za unos u SAP'!$K$3:$K$501,"=661")</f>
        <v>0</v>
      </c>
      <c r="R22" s="186">
        <f>SUMIFS('Plan prihoda za unos u SAP'!$G$3:$G$501,'Plan prihoda za unos u SAP'!$C$3:$C$501,"=576",'Plan prihoda za unos u SAP'!$K$3:$K$501,"=661")</f>
        <v>0</v>
      </c>
      <c r="S22" s="186">
        <f>SUMIFS('Plan prihoda za unos u SAP'!$G$3:$G$501,'Plan prihoda za unos u SAP'!$C$3:$C$501,"=581",'Plan prihoda za unos u SAP'!$K$3:$K$501,"=661")</f>
        <v>0</v>
      </c>
      <c r="T22" s="186">
        <f>SUMIFS('Plan prihoda za unos u SAP'!$G$3:$G$501,'Plan prihoda za unos u SAP'!$C$3:$C$501,"=61",'Plan prihoda za unos u SAP'!$K$3:$K$501,"=661")</f>
        <v>0</v>
      </c>
      <c r="U22" s="186">
        <f>SUMIFS('Plan prihoda za unos u SAP'!$G$3:$G$501,'Plan prihoda za unos u SAP'!$C$3:$C$501,"=63",'Plan prihoda za unos u SAP'!$K$3:$K$501,"=661")</f>
        <v>0</v>
      </c>
      <c r="V22" s="186">
        <f>SUMIFS('Plan prihoda za unos u SAP'!$G$3:$G$501,'Plan prihoda za unos u SAP'!$C$3:$C$501,"=71",'Plan prihoda za unos u SAP'!$K$3:$K$501,"=661")</f>
        <v>0</v>
      </c>
      <c r="W22" s="186">
        <f>SUMIFS('Plan prihoda za unos u SAP'!$G$3:$G$501,'Plan prihoda za unos u SAP'!$C$3:$C$501,"=81",'Plan prihoda za unos u SAP'!$K$3:$K$501,"=661")</f>
        <v>0</v>
      </c>
    </row>
    <row r="23" spans="1:23" s="90" customFormat="1">
      <c r="A23" s="90">
        <v>2021</v>
      </c>
      <c r="B23" s="95" t="s">
        <v>292</v>
      </c>
      <c r="C23" s="96" t="s">
        <v>293</v>
      </c>
      <c r="D23" s="70">
        <f t="shared" si="0"/>
        <v>205033</v>
      </c>
      <c r="E23" s="186">
        <f>SUMIFS('Plan prihoda za unos u SAP'!$G$3:$G$501,'Plan prihoda za unos u SAP'!$C$3:$C$501,"=11",'Plan prihoda za unos u SAP'!$K$3:$K$501,"=663")</f>
        <v>0</v>
      </c>
      <c r="F23" s="186">
        <f>SUMIFS('Plan prihoda za unos u SAP'!$G$3:$G$501,'Plan prihoda za unos u SAP'!$C$3:$C$501,"=12",'Plan prihoda za unos u SAP'!$K$3:$K$501,"=663")</f>
        <v>0</v>
      </c>
      <c r="G23" s="186">
        <f>SUMIFS('Plan prihoda za unos u SAP'!$G$3:$G$501,'Plan prihoda za unos u SAP'!$C$3:$C$501,"=31",'Plan prihoda za unos u SAP'!$K$3:$K$501,"=663")</f>
        <v>0</v>
      </c>
      <c r="H23" s="186">
        <f>SUMIFS('Plan prihoda za unos u SAP'!$G$3:$G$501,'Plan prihoda za unos u SAP'!$C$3:$C$501,"=41",'Plan prihoda za unos u SAP'!$K$3:$K$501,"=663")</f>
        <v>0</v>
      </c>
      <c r="I23" s="186">
        <f>SUMIFS('Plan prihoda za unos u SAP'!$G$3:$G$501,'Plan prihoda za unos u SAP'!$C$3:$C$501,"=43",'Plan prihoda za unos u SAP'!$K$3:$K$501,"=663")</f>
        <v>0</v>
      </c>
      <c r="J23" s="186">
        <f>SUMIFS('Plan prihoda za unos u SAP'!$G$3:$G$501,'Plan prihoda za unos u SAP'!$C$3:$C$501,"=51",'Plan prihoda za unos u SAP'!$K$3:$K$501,"=663")</f>
        <v>0</v>
      </c>
      <c r="K23" s="186">
        <f>SUMIFS('Plan prihoda za unos u SAP'!$G$3:$G$501,'Plan prihoda za unos u SAP'!$C$3:$C$501,"=52",'Plan prihoda za unos u SAP'!$K$3:$K$501,"=663")</f>
        <v>0</v>
      </c>
      <c r="L23" s="186">
        <f>SUMIFS('Plan prihoda za unos u SAP'!$G$3:$G$501,'Plan prihoda za unos u SAP'!$C$3:$C$501,"=552",'Plan prihoda za unos u SAP'!$K$3:$K$501,"=663")</f>
        <v>0</v>
      </c>
      <c r="M23" s="186">
        <f>SUMIFS('Plan prihoda za unos u SAP'!$G$3:$G$501,'Plan prihoda za unos u SAP'!$C$3:$C$501,"=559",'Plan prihoda za unos u SAP'!$K$3:$K$501,"=663")</f>
        <v>0</v>
      </c>
      <c r="N23" s="186">
        <f>SUMIFS('Plan prihoda za unos u SAP'!$G$3:$G$501,'Plan prihoda za unos u SAP'!$C$3:$C$501,"=561",'Plan prihoda za unos u SAP'!$K$3:$K$501,"=663")</f>
        <v>0</v>
      </c>
      <c r="O23" s="186">
        <f>SUMIFS('Plan prihoda za unos u SAP'!$G$3:$G$501,'Plan prihoda za unos u SAP'!$C$3:$C$501,"=563",'Plan prihoda za unos u SAP'!$K$3:$K$501,"=663")</f>
        <v>0</v>
      </c>
      <c r="P23" s="186">
        <f>SUMIFS('Plan prihoda za unos u SAP'!$G$3:$G$501,'Plan prihoda za unos u SAP'!$C$3:$C$501,"=573",'Plan prihoda za unos u SAP'!$K$3:$K$501,"=663")</f>
        <v>0</v>
      </c>
      <c r="Q23" s="186">
        <f>SUMIFS('Plan prihoda za unos u SAP'!$G$3:$G$501,'Plan prihoda za unos u SAP'!$C$3:$C$501,"=575",'Plan prihoda za unos u SAP'!$K$3:$K$501,"=663")</f>
        <v>0</v>
      </c>
      <c r="R23" s="186">
        <f>SUMIFS('Plan prihoda za unos u SAP'!$G$3:$G$501,'Plan prihoda za unos u SAP'!$C$3:$C$501,"=576",'Plan prihoda za unos u SAP'!$K$3:$K$501,"=663")</f>
        <v>0</v>
      </c>
      <c r="S23" s="186">
        <f>SUMIFS('Plan prihoda za unos u SAP'!$G$3:$G$501,'Plan prihoda za unos u SAP'!$C$3:$C$501,"=581",'Plan prihoda za unos u SAP'!$K$3:$K$501,"=663")</f>
        <v>0</v>
      </c>
      <c r="T23" s="186">
        <f>SUMIFS('Plan prihoda za unos u SAP'!$G$3:$G$501,'Plan prihoda za unos u SAP'!$C$3:$C$501,"=61",'Plan prihoda za unos u SAP'!$K$3:$K$501,"=663")</f>
        <v>205033</v>
      </c>
      <c r="U23" s="186">
        <f>SUMIFS('Plan prihoda za unos u SAP'!$G$3:$G$501,'Plan prihoda za unos u SAP'!$C$3:$C$501,"=63",'Plan prihoda za unos u SAP'!$K$3:$K$501,"=663")</f>
        <v>0</v>
      </c>
      <c r="V23" s="186">
        <f>SUMIFS('Plan prihoda za unos u SAP'!$G$3:$G$501,'Plan prihoda za unos u SAP'!$C$3:$C$501,"=71",'Plan prihoda za unos u SAP'!$K$3:$K$501,"=663")</f>
        <v>0</v>
      </c>
      <c r="W23" s="186">
        <f>SUMIFS('Plan prihoda za unos u SAP'!$G$3:$G$501,'Plan prihoda za unos u SAP'!$C$3:$C$501,"=81",'Plan prihoda za unos u SAP'!$K$3:$K$501,"=663")</f>
        <v>0</v>
      </c>
    </row>
    <row r="24" spans="1:23" s="90" customFormat="1" ht="25.5">
      <c r="A24" s="90">
        <v>2021</v>
      </c>
      <c r="B24" s="95" t="s">
        <v>294</v>
      </c>
      <c r="C24" s="96" t="s">
        <v>254</v>
      </c>
      <c r="D24" s="70">
        <f t="shared" si="0"/>
        <v>19705590</v>
      </c>
      <c r="E24" s="186">
        <f>SUMIFS('Plan prihoda za unos u SAP'!$G$3:$G$501,'Plan prihoda za unos u SAP'!$C$3:$C$501,"=11",'Plan prihoda za unos u SAP'!$K$3:$K$501,"=671")</f>
        <v>19705590</v>
      </c>
      <c r="F24" s="186">
        <f>SUMIFS('Plan prihoda za unos u SAP'!$G$3:$G$501,'Plan prihoda za unos u SAP'!$C$3:$C$501,"=12",'Plan prihoda za unos u SAP'!$K$3:$K$501,"=671")</f>
        <v>0</v>
      </c>
      <c r="G24" s="186">
        <f>SUMIFS('Plan prihoda za unos u SAP'!$G$3:$G$501,'Plan prihoda za unos u SAP'!$C$3:$C$501,"=31",'Plan prihoda za unos u SAP'!$K$3:$K$501,"=671")</f>
        <v>0</v>
      </c>
      <c r="H24" s="186">
        <f>SUMIFS('Plan prihoda za unos u SAP'!$G$3:$G$501,'Plan prihoda za unos u SAP'!$C$3:$C$501,"=41",'Plan prihoda za unos u SAP'!$K$3:$K$501,"=671")</f>
        <v>0</v>
      </c>
      <c r="I24" s="186">
        <f>SUMIFS('Plan prihoda za unos u SAP'!$G$3:$G$501,'Plan prihoda za unos u SAP'!$C$3:$C$501,"=43",'Plan prihoda za unos u SAP'!$K$3:$K$501,"=671")</f>
        <v>0</v>
      </c>
      <c r="J24" s="186">
        <f>SUMIFS('Plan prihoda za unos u SAP'!$G$3:$G$501,'Plan prihoda za unos u SAP'!$C$3:$C$501,"=51",'Plan prihoda za unos u SAP'!$K$3:$K$501,"=671")</f>
        <v>0</v>
      </c>
      <c r="K24" s="186">
        <f>SUMIFS('Plan prihoda za unos u SAP'!$G$3:$G$501,'Plan prihoda za unos u SAP'!$C$3:$C$501,"=52",'Plan prihoda za unos u SAP'!$K$3:$K$501,"=671")</f>
        <v>0</v>
      </c>
      <c r="L24" s="186">
        <f>SUMIFS('Plan prihoda za unos u SAP'!$G$3:$G$501,'Plan prihoda za unos u SAP'!$C$3:$C$501,"=552",'Plan prihoda za unos u SAP'!$K$3:$K$501,"=671")</f>
        <v>0</v>
      </c>
      <c r="M24" s="186">
        <f>SUMIFS('Plan prihoda za unos u SAP'!$G$3:$G$501,'Plan prihoda za unos u SAP'!$C$3:$C$501,"=559",'Plan prihoda za unos u SAP'!$K$3:$K$501,"=671")</f>
        <v>0</v>
      </c>
      <c r="N24" s="186">
        <f>SUMIFS('Plan prihoda za unos u SAP'!$G$3:$G$501,'Plan prihoda za unos u SAP'!$C$3:$C$501,"=561",'Plan prihoda za unos u SAP'!$K$3:$K$501,"=671")</f>
        <v>0</v>
      </c>
      <c r="O24" s="186">
        <f>SUMIFS('Plan prihoda za unos u SAP'!$G$3:$G$501,'Plan prihoda za unos u SAP'!$C$3:$C$501,"=563",'Plan prihoda za unos u SAP'!$K$3:$K$501,"=671")</f>
        <v>0</v>
      </c>
      <c r="P24" s="186">
        <f>SUMIFS('Plan prihoda za unos u SAP'!$G$3:$G$501,'Plan prihoda za unos u SAP'!$C$3:$C$501,"=573",'Plan prihoda za unos u SAP'!$K$3:$K$501,"=671")</f>
        <v>0</v>
      </c>
      <c r="Q24" s="186">
        <f>SUMIFS('Plan prihoda za unos u SAP'!$G$3:$G$501,'Plan prihoda za unos u SAP'!$C$3:$C$501,"=575",'Plan prihoda za unos u SAP'!$K$3:$K$501,"=671")</f>
        <v>0</v>
      </c>
      <c r="R24" s="186">
        <f>SUMIFS('Plan prihoda za unos u SAP'!$G$3:$G$501,'Plan prihoda za unos u SAP'!$C$3:$C$501,"=576",'Plan prihoda za unos u SAP'!$K$3:$K$501,"=671")</f>
        <v>0</v>
      </c>
      <c r="S24" s="186">
        <f>SUMIFS('Plan prihoda za unos u SAP'!$G$3:$G$501,'Plan prihoda za unos u SAP'!$C$3:$C$501,"=581",'Plan prihoda za unos u SAP'!$K$3:$K$501,"=671")</f>
        <v>0</v>
      </c>
      <c r="T24" s="186">
        <f>SUMIFS('Plan prihoda za unos u SAP'!$G$3:$G$501,'Plan prihoda za unos u SAP'!$C$3:$C$501,"=61",'Plan prihoda za unos u SAP'!$K$3:$K$501,"=671")</f>
        <v>0</v>
      </c>
      <c r="U24" s="186">
        <f>SUMIFS('Plan prihoda za unos u SAP'!$G$3:$G$501,'Plan prihoda za unos u SAP'!$C$3:$C$501,"=63",'Plan prihoda za unos u SAP'!$K$3:$K$501,"=671")</f>
        <v>0</v>
      </c>
      <c r="V24" s="186">
        <f>SUMIFS('Plan prihoda za unos u SAP'!$G$3:$G$501,'Plan prihoda za unos u SAP'!$C$3:$C$501,"=71",'Plan prihoda za unos u SAP'!$K$3:$K$501,"=671")</f>
        <v>0</v>
      </c>
      <c r="W24" s="186">
        <f>SUMIFS('Plan prihoda za unos u SAP'!$G$3:$G$501,'Plan prihoda za unos u SAP'!$C$3:$C$501,"=81",'Plan prihoda za unos u SAP'!$K$3:$K$501,"=671")</f>
        <v>0</v>
      </c>
    </row>
    <row r="25" spans="1:23" s="90" customFormat="1">
      <c r="A25" s="90">
        <v>2021</v>
      </c>
      <c r="B25" s="95" t="s">
        <v>295</v>
      </c>
      <c r="C25" s="96" t="s">
        <v>296</v>
      </c>
      <c r="D25" s="70">
        <f t="shared" si="0"/>
        <v>0</v>
      </c>
      <c r="E25" s="186">
        <f>SUMIFS('Plan prihoda za unos u SAP'!$G$3:$G$501,'Plan prihoda za unos u SAP'!$C$3:$C$501,"=11",'Plan prihoda za unos u SAP'!$K$3:$K$501,"=681")</f>
        <v>0</v>
      </c>
      <c r="F25" s="186">
        <f>SUMIFS('Plan prihoda za unos u SAP'!$G$3:$G$501,'Plan prihoda za unos u SAP'!$C$3:$C$501,"=12",'Plan prihoda za unos u SAP'!$K$3:$K$501,"=681")</f>
        <v>0</v>
      </c>
      <c r="G25" s="186">
        <f>SUMIFS('Plan prihoda za unos u SAP'!$G$3:$G$501,'Plan prihoda za unos u SAP'!$C$3:$C$501,"=31",'Plan prihoda za unos u SAP'!$K$3:$K$501,"=681")</f>
        <v>0</v>
      </c>
      <c r="H25" s="186">
        <f>SUMIFS('Plan prihoda za unos u SAP'!$G$3:$G$501,'Plan prihoda za unos u SAP'!$C$3:$C$501,"=41",'Plan prihoda za unos u SAP'!$K$3:$K$501,"=681")</f>
        <v>0</v>
      </c>
      <c r="I25" s="186">
        <f>SUMIFS('Plan prihoda za unos u SAP'!$G$3:$G$501,'Plan prihoda za unos u SAP'!$C$3:$C$501,"=43",'Plan prihoda za unos u SAP'!$K$3:$K$501,"=681")</f>
        <v>0</v>
      </c>
      <c r="J25" s="186">
        <f>SUMIFS('Plan prihoda za unos u SAP'!$G$3:$G$501,'Plan prihoda za unos u SAP'!$C$3:$C$501,"=51",'Plan prihoda za unos u SAP'!$K$3:$K$501,"=681")</f>
        <v>0</v>
      </c>
      <c r="K25" s="186">
        <f>SUMIFS('Plan prihoda za unos u SAP'!$G$3:$G$501,'Plan prihoda za unos u SAP'!$C$3:$C$501,"=52",'Plan prihoda za unos u SAP'!$K$3:$K$501,"=681")</f>
        <v>0</v>
      </c>
      <c r="L25" s="186">
        <f>SUMIFS('Plan prihoda za unos u SAP'!$G$3:$G$501,'Plan prihoda za unos u SAP'!$C$3:$C$501,"=552",'Plan prihoda za unos u SAP'!$K$3:$K$501,"=681")</f>
        <v>0</v>
      </c>
      <c r="M25" s="186">
        <f>SUMIFS('Plan prihoda za unos u SAP'!$G$3:$G$501,'Plan prihoda za unos u SAP'!$C$3:$C$501,"=559",'Plan prihoda za unos u SAP'!$K$3:$K$501,"=681")</f>
        <v>0</v>
      </c>
      <c r="N25" s="186">
        <f>SUMIFS('Plan prihoda za unos u SAP'!$G$3:$G$501,'Plan prihoda za unos u SAP'!$C$3:$C$501,"=561",'Plan prihoda za unos u SAP'!$K$3:$K$501,"=681")</f>
        <v>0</v>
      </c>
      <c r="O25" s="186">
        <f>SUMIFS('Plan prihoda za unos u SAP'!$G$3:$G$501,'Plan prihoda za unos u SAP'!$C$3:$C$501,"=563",'Plan prihoda za unos u SAP'!$K$3:$K$501,"=681")</f>
        <v>0</v>
      </c>
      <c r="P25" s="186">
        <f>SUMIFS('Plan prihoda za unos u SAP'!$G$3:$G$501,'Plan prihoda za unos u SAP'!$C$3:$C$501,"=573",'Plan prihoda za unos u SAP'!$K$3:$K$501,"=681")</f>
        <v>0</v>
      </c>
      <c r="Q25" s="186">
        <f>SUMIFS('Plan prihoda za unos u SAP'!$G$3:$G$501,'Plan prihoda za unos u SAP'!$C$3:$C$501,"=575",'Plan prihoda za unos u SAP'!$K$3:$K$501,"=681")</f>
        <v>0</v>
      </c>
      <c r="R25" s="186">
        <f>SUMIFS('Plan prihoda za unos u SAP'!$G$3:$G$501,'Plan prihoda za unos u SAP'!$C$3:$C$501,"=576",'Plan prihoda za unos u SAP'!$K$3:$K$501,"=681")</f>
        <v>0</v>
      </c>
      <c r="S25" s="186">
        <f>SUMIFS('Plan prihoda za unos u SAP'!$G$3:$G$501,'Plan prihoda za unos u SAP'!$C$3:$C$501,"=581",'Plan prihoda za unos u SAP'!$K$3:$K$501,"=681")</f>
        <v>0</v>
      </c>
      <c r="T25" s="186">
        <f>SUMIFS('Plan prihoda za unos u SAP'!$G$3:$G$501,'Plan prihoda za unos u SAP'!$C$3:$C$501,"=61",'Plan prihoda za unos u SAP'!$K$3:$K$501,"=681")</f>
        <v>0</v>
      </c>
      <c r="U25" s="186">
        <f>SUMIFS('Plan prihoda za unos u SAP'!$G$3:$G$501,'Plan prihoda za unos u SAP'!$C$3:$C$501,"=63",'Plan prihoda za unos u SAP'!$K$3:$K$501,"=681")</f>
        <v>0</v>
      </c>
      <c r="V25" s="186">
        <f>SUMIFS('Plan prihoda za unos u SAP'!$G$3:$G$501,'Plan prihoda za unos u SAP'!$C$3:$C$501,"=71",'Plan prihoda za unos u SAP'!$K$3:$K$501,"=681")</f>
        <v>0</v>
      </c>
      <c r="W25" s="186">
        <f>SUMIFS('Plan prihoda za unos u SAP'!$G$3:$G$501,'Plan prihoda za unos u SAP'!$C$3:$C$501,"=81",'Plan prihoda za unos u SAP'!$K$3:$K$501,"=681")</f>
        <v>0</v>
      </c>
    </row>
    <row r="26" spans="1:23" s="90" customFormat="1">
      <c r="A26" s="90">
        <v>2021</v>
      </c>
      <c r="B26" s="95" t="s">
        <v>297</v>
      </c>
      <c r="C26" s="96" t="s">
        <v>298</v>
      </c>
      <c r="D26" s="70">
        <f t="shared" si="0"/>
        <v>0</v>
      </c>
      <c r="E26" s="186">
        <f>SUMIFS('Plan prihoda za unos u SAP'!$G$3:$G$501,'Plan prihoda za unos u SAP'!$C$3:$C$501,"=11",'Plan prihoda za unos u SAP'!$K$3:$K$501,"=683")</f>
        <v>0</v>
      </c>
      <c r="F26" s="186">
        <f>SUMIFS('Plan prihoda za unos u SAP'!$G$3:$G$501,'Plan prihoda za unos u SAP'!$C$3:$C$501,"=12",'Plan prihoda za unos u SAP'!$K$3:$K$501,"=683")</f>
        <v>0</v>
      </c>
      <c r="G26" s="186">
        <f>SUMIFS('Plan prihoda za unos u SAP'!$G$3:$G$501,'Plan prihoda za unos u SAP'!$C$3:$C$501,"=31",'Plan prihoda za unos u SAP'!$K$3:$K$501,"=683")</f>
        <v>0</v>
      </c>
      <c r="H26" s="186">
        <f>SUMIFS('Plan prihoda za unos u SAP'!$G$3:$G$501,'Plan prihoda za unos u SAP'!$C$3:$C$501,"=41",'Plan prihoda za unos u SAP'!$K$3:$K$501,"=683")</f>
        <v>0</v>
      </c>
      <c r="I26" s="186">
        <f>SUMIFS('Plan prihoda za unos u SAP'!$G$3:$G$501,'Plan prihoda za unos u SAP'!$C$3:$C$501,"=43",'Plan prihoda za unos u SAP'!$K$3:$K$501,"=683")</f>
        <v>0</v>
      </c>
      <c r="J26" s="186">
        <f>SUMIFS('Plan prihoda za unos u SAP'!$G$3:$G$501,'Plan prihoda za unos u SAP'!$C$3:$C$501,"=51",'Plan prihoda za unos u SAP'!$K$3:$K$501,"=683")</f>
        <v>0</v>
      </c>
      <c r="K26" s="186">
        <f>SUMIFS('Plan prihoda za unos u SAP'!$G$3:$G$501,'Plan prihoda za unos u SAP'!$C$3:$C$501,"=52",'Plan prihoda za unos u SAP'!$K$3:$K$501,"=683")</f>
        <v>0</v>
      </c>
      <c r="L26" s="186">
        <f>SUMIFS('Plan prihoda za unos u SAP'!$G$3:$G$501,'Plan prihoda za unos u SAP'!$C$3:$C$501,"=552",'Plan prihoda za unos u SAP'!$K$3:$K$501,"=683")</f>
        <v>0</v>
      </c>
      <c r="M26" s="186">
        <f>SUMIFS('Plan prihoda za unos u SAP'!$G$3:$G$501,'Plan prihoda za unos u SAP'!$C$3:$C$501,"=559",'Plan prihoda za unos u SAP'!$K$3:$K$501,"=683")</f>
        <v>0</v>
      </c>
      <c r="N26" s="186">
        <f>SUMIFS('Plan prihoda za unos u SAP'!$G$3:$G$501,'Plan prihoda za unos u SAP'!$C$3:$C$501,"=561",'Plan prihoda za unos u SAP'!$K$3:$K$501,"=683")</f>
        <v>0</v>
      </c>
      <c r="O26" s="186">
        <f>SUMIFS('Plan prihoda za unos u SAP'!$G$3:$G$501,'Plan prihoda za unos u SAP'!$C$3:$C$501,"=563",'Plan prihoda za unos u SAP'!$K$3:$K$501,"=683")</f>
        <v>0</v>
      </c>
      <c r="P26" s="186">
        <f>SUMIFS('Plan prihoda za unos u SAP'!$G$3:$G$501,'Plan prihoda za unos u SAP'!$C$3:$C$501,"=573",'Plan prihoda za unos u SAP'!$K$3:$K$501,"=683")</f>
        <v>0</v>
      </c>
      <c r="Q26" s="186">
        <f>SUMIFS('Plan prihoda za unos u SAP'!$G$3:$G$501,'Plan prihoda za unos u SAP'!$C$3:$C$501,"=575",'Plan prihoda za unos u SAP'!$K$3:$K$501,"=683")</f>
        <v>0</v>
      </c>
      <c r="R26" s="186">
        <f>SUMIFS('Plan prihoda za unos u SAP'!$G$3:$G$501,'Plan prihoda za unos u SAP'!$C$3:$C$501,"=576",'Plan prihoda za unos u SAP'!$K$3:$K$501,"=683")</f>
        <v>0</v>
      </c>
      <c r="S26" s="186">
        <f>SUMIFS('Plan prihoda za unos u SAP'!$G$3:$G$501,'Plan prihoda za unos u SAP'!$C$3:$C$501,"=581",'Plan prihoda za unos u SAP'!$K$3:$K$501,"=683")</f>
        <v>0</v>
      </c>
      <c r="T26" s="186">
        <f>SUMIFS('Plan prihoda za unos u SAP'!$G$3:$G$501,'Plan prihoda za unos u SAP'!$C$3:$C$501,"=61",'Plan prihoda za unos u SAP'!$K$3:$K$501,"=683")</f>
        <v>0</v>
      </c>
      <c r="U26" s="186">
        <f>SUMIFS('Plan prihoda za unos u SAP'!$G$3:$G$501,'Plan prihoda za unos u SAP'!$C$3:$C$501,"=63",'Plan prihoda za unos u SAP'!$K$3:$K$501,"=683")</f>
        <v>0</v>
      </c>
      <c r="V26" s="186">
        <f>SUMIFS('Plan prihoda za unos u SAP'!$G$3:$G$501,'Plan prihoda za unos u SAP'!$C$3:$C$501,"=71",'Plan prihoda za unos u SAP'!$K$3:$K$501,"=683")</f>
        <v>0</v>
      </c>
      <c r="W26" s="186">
        <f>SUMIFS('Plan prihoda za unos u SAP'!$G$3:$G$501,'Plan prihoda za unos u SAP'!$C$3:$C$501,"=81",'Plan prihoda za unos u SAP'!$K$3:$K$501,"=683")</f>
        <v>0</v>
      </c>
    </row>
    <row r="27" spans="1:23" s="90" customFormat="1">
      <c r="A27" s="90">
        <v>2021</v>
      </c>
      <c r="B27" s="98" t="s">
        <v>299</v>
      </c>
      <c r="C27" s="99" t="s">
        <v>300</v>
      </c>
      <c r="D27" s="70">
        <f t="shared" si="0"/>
        <v>32758623</v>
      </c>
      <c r="E27" s="4">
        <f>SUM(E11:E26)</f>
        <v>19705590</v>
      </c>
      <c r="F27" s="4">
        <f t="shared" ref="F27:W27" si="7">SUM(F11:F26)</f>
        <v>0</v>
      </c>
      <c r="G27" s="4">
        <f t="shared" si="7"/>
        <v>688000</v>
      </c>
      <c r="H27" s="4">
        <f t="shared" si="7"/>
        <v>0</v>
      </c>
      <c r="I27" s="4">
        <f t="shared" si="7"/>
        <v>12035000</v>
      </c>
      <c r="J27" s="4">
        <f t="shared" si="7"/>
        <v>0</v>
      </c>
      <c r="K27" s="4">
        <f t="shared" si="7"/>
        <v>125000</v>
      </c>
      <c r="L27" s="4">
        <f t="shared" si="7"/>
        <v>0</v>
      </c>
      <c r="M27" s="4">
        <f t="shared" si="7"/>
        <v>0</v>
      </c>
      <c r="N27" s="4">
        <f t="shared" si="7"/>
        <v>0</v>
      </c>
      <c r="O27" s="4">
        <f t="shared" si="7"/>
        <v>0</v>
      </c>
      <c r="P27" s="4">
        <f t="shared" si="7"/>
        <v>0</v>
      </c>
      <c r="Q27" s="4">
        <f>SUM(Q11:Q26)</f>
        <v>0</v>
      </c>
      <c r="R27" s="4">
        <f t="shared" ref="R27" si="8">SUM(R11:R26)</f>
        <v>0</v>
      </c>
      <c r="S27" s="4">
        <f>SUM(S11:S26)</f>
        <v>0</v>
      </c>
      <c r="T27" s="4">
        <f>SUM(T11:T26)</f>
        <v>205033</v>
      </c>
      <c r="U27" s="4">
        <f t="shared" si="7"/>
        <v>0</v>
      </c>
      <c r="V27" s="4">
        <f t="shared" si="7"/>
        <v>0</v>
      </c>
      <c r="W27" s="4">
        <f t="shared" si="7"/>
        <v>0</v>
      </c>
    </row>
    <row r="28" spans="1:23" s="90" customFormat="1">
      <c r="A28" s="90">
        <v>2021</v>
      </c>
      <c r="B28" s="95" t="s">
        <v>311</v>
      </c>
      <c r="C28" s="100" t="s">
        <v>312</v>
      </c>
      <c r="D28" s="70">
        <f t="shared" si="0"/>
        <v>0</v>
      </c>
      <c r="E28" s="186">
        <f>SUMIFS('Plan prihoda za unos u SAP'!$G$3:$G$501,'Plan prihoda za unos u SAP'!$C$3:$C$501,"=11",'Plan prihoda za unos u SAP'!$K$3:$K$501,"=711")</f>
        <v>0</v>
      </c>
      <c r="F28" s="186">
        <f>SUMIFS('Plan prihoda za unos u SAP'!$G$3:$G$501,'Plan prihoda za unos u SAP'!$C$3:$C$501,"=12",'Plan prihoda za unos u SAP'!$K$3:$K$501,"=711")</f>
        <v>0</v>
      </c>
      <c r="G28" s="186">
        <f>SUMIFS('Plan prihoda za unos u SAP'!$G$3:$G$501,'Plan prihoda za unos u SAP'!$C$3:$C$501,"=31",'Plan prihoda za unos u SAP'!$K$3:$K$501,"=711")</f>
        <v>0</v>
      </c>
      <c r="H28" s="186">
        <f>SUMIFS('Plan prihoda za unos u SAP'!$G$3:$G$501,'Plan prihoda za unos u SAP'!$C$3:$C$501,"=41",'Plan prihoda za unos u SAP'!$K$3:$K$501,"=711")</f>
        <v>0</v>
      </c>
      <c r="I28" s="186">
        <f>SUMIFS('Plan prihoda za unos u SAP'!$G$3:$G$501,'Plan prihoda za unos u SAP'!$C$3:$C$501,"=43",'Plan prihoda za unos u SAP'!$K$3:$K$501,"=711")</f>
        <v>0</v>
      </c>
      <c r="J28" s="186">
        <f>SUMIFS('Plan prihoda za unos u SAP'!$G$3:$G$501,'Plan prihoda za unos u SAP'!$C$3:$C$501,"=51",'Plan prihoda za unos u SAP'!$K$3:$K$501,"=711")</f>
        <v>0</v>
      </c>
      <c r="K28" s="186">
        <f>SUMIFS('Plan prihoda za unos u SAP'!$G$3:$G$501,'Plan prihoda za unos u SAP'!$C$3:$C$501,"=52",'Plan prihoda za unos u SAP'!$K$3:$K$501,"=711")</f>
        <v>0</v>
      </c>
      <c r="L28" s="186">
        <f>SUMIFS('Plan prihoda za unos u SAP'!$G$3:$G$501,'Plan prihoda za unos u SAP'!$C$3:$C$501,"=552",'Plan prihoda za unos u SAP'!$K$3:$K$501,"=711")</f>
        <v>0</v>
      </c>
      <c r="M28" s="186">
        <f>SUMIFS('Plan prihoda za unos u SAP'!$G$3:$G$501,'Plan prihoda za unos u SAP'!$C$3:$C$501,"=559",'Plan prihoda za unos u SAP'!$K$3:$K$501,"=711")</f>
        <v>0</v>
      </c>
      <c r="N28" s="186">
        <f>SUMIFS('Plan prihoda za unos u SAP'!$G$3:$G$501,'Plan prihoda za unos u SAP'!$C$3:$C$501,"=561",'Plan prihoda za unos u SAP'!$K$3:$K$501,"=711")</f>
        <v>0</v>
      </c>
      <c r="O28" s="186">
        <f>SUMIFS('Plan prihoda za unos u SAP'!$G$3:$G$501,'Plan prihoda za unos u SAP'!$C$3:$C$501,"=563",'Plan prihoda za unos u SAP'!$K$3:$K$501,"=711")</f>
        <v>0</v>
      </c>
      <c r="P28" s="186">
        <f>SUMIFS('Plan prihoda za unos u SAP'!$G$3:$G$501,'Plan prihoda za unos u SAP'!$C$3:$C$501,"=573",'Plan prihoda za unos u SAP'!$K$3:$K$501,"=711")</f>
        <v>0</v>
      </c>
      <c r="Q28" s="186">
        <f>SUMIFS('Plan prihoda za unos u SAP'!$G$3:$G$501,'Plan prihoda za unos u SAP'!$C$3:$C$501,"=575",'Plan prihoda za unos u SAP'!$K$3:$K$501,"=711")</f>
        <v>0</v>
      </c>
      <c r="R28" s="186">
        <f>SUMIFS('Plan prihoda za unos u SAP'!$G$3:$G$501,'Plan prihoda za unos u SAP'!$C$3:$C$501,"=576",'Plan prihoda za unos u SAP'!$K$3:$K$501,"=711")</f>
        <v>0</v>
      </c>
      <c r="S28" s="186">
        <f>SUMIFS('Plan prihoda za unos u SAP'!$G$3:$G$501,'Plan prihoda za unos u SAP'!$C$3:$C$501,"=581",'Plan prihoda za unos u SAP'!$K$3:$K$501,"=711")</f>
        <v>0</v>
      </c>
      <c r="T28" s="186">
        <f>SUMIFS('Plan prihoda za unos u SAP'!$G$3:$G$501,'Plan prihoda za unos u SAP'!$C$3:$C$501,"=61",'Plan prihoda za unos u SAP'!$K$3:$K$501,"=711")</f>
        <v>0</v>
      </c>
      <c r="U28" s="186">
        <f>SUMIFS('Plan prihoda za unos u SAP'!$G$3:$G$501,'Plan prihoda za unos u SAP'!$C$3:$C$501,"=63",'Plan prihoda za unos u SAP'!$K$3:$K$501,"=711")</f>
        <v>0</v>
      </c>
      <c r="V28" s="186">
        <f>SUMIFS('Plan prihoda za unos u SAP'!$G$3:$G$501,'Plan prihoda za unos u SAP'!$C$3:$C$501,"=71",'Plan prihoda za unos u SAP'!$K$3:$K$501,"=711")</f>
        <v>0</v>
      </c>
      <c r="W28" s="186">
        <f>SUMIFS('Plan prihoda za unos u SAP'!$G$3:$G$501,'Plan prihoda za unos u SAP'!$C$3:$C$501,"=81",'Plan prihoda za unos u SAP'!$K$3:$K$501,"=711")</f>
        <v>0</v>
      </c>
    </row>
    <row r="29" spans="1:23" s="90" customFormat="1">
      <c r="A29" s="90">
        <v>2021</v>
      </c>
      <c r="B29" s="95" t="s">
        <v>313</v>
      </c>
      <c r="C29" s="100" t="s">
        <v>314</v>
      </c>
      <c r="D29" s="70">
        <f t="shared" si="0"/>
        <v>0</v>
      </c>
      <c r="E29" s="186">
        <f>SUMIFS('Plan prihoda za unos u SAP'!$G$3:$G$501,'Plan prihoda za unos u SAP'!$C$3:$C$501,"=11",'Plan prihoda za unos u SAP'!$K$3:$K$501,"=712")</f>
        <v>0</v>
      </c>
      <c r="F29" s="186">
        <f>SUMIFS('Plan prihoda za unos u SAP'!$G$3:$G$501,'Plan prihoda za unos u SAP'!$C$3:$C$501,"=12",'Plan prihoda za unos u SAP'!$K$3:$K$501,"=712")</f>
        <v>0</v>
      </c>
      <c r="G29" s="186">
        <f>SUMIFS('Plan prihoda za unos u SAP'!$G$3:$G$501,'Plan prihoda za unos u SAP'!$C$3:$C$501,"=31",'Plan prihoda za unos u SAP'!$K$3:$K$501,"=712")</f>
        <v>0</v>
      </c>
      <c r="H29" s="186">
        <f>SUMIFS('Plan prihoda za unos u SAP'!$G$3:$G$501,'Plan prihoda za unos u SAP'!$C$3:$C$501,"=41",'Plan prihoda za unos u SAP'!$K$3:$K$501,"=712")</f>
        <v>0</v>
      </c>
      <c r="I29" s="186">
        <f>SUMIFS('Plan prihoda za unos u SAP'!$G$3:$G$501,'Plan prihoda za unos u SAP'!$C$3:$C$501,"=43",'Plan prihoda za unos u SAP'!$K$3:$K$501,"=712")</f>
        <v>0</v>
      </c>
      <c r="J29" s="186">
        <f>SUMIFS('Plan prihoda za unos u SAP'!$G$3:$G$501,'Plan prihoda za unos u SAP'!$C$3:$C$501,"=51",'Plan prihoda za unos u SAP'!$K$3:$K$501,"=712")</f>
        <v>0</v>
      </c>
      <c r="K29" s="186">
        <f>SUMIFS('Plan prihoda za unos u SAP'!$G$3:$G$501,'Plan prihoda za unos u SAP'!$C$3:$C$501,"=52",'Plan prihoda za unos u SAP'!$K$3:$K$501,"=712")</f>
        <v>0</v>
      </c>
      <c r="L29" s="186">
        <f>SUMIFS('Plan prihoda za unos u SAP'!$G$3:$G$501,'Plan prihoda za unos u SAP'!$C$3:$C$501,"=552",'Plan prihoda za unos u SAP'!$K$3:$K$501,"=712")</f>
        <v>0</v>
      </c>
      <c r="M29" s="186">
        <f>SUMIFS('Plan prihoda za unos u SAP'!$G$3:$G$501,'Plan prihoda za unos u SAP'!$C$3:$C$501,"=559",'Plan prihoda za unos u SAP'!$K$3:$K$501,"=712")</f>
        <v>0</v>
      </c>
      <c r="N29" s="186">
        <f>SUMIFS('Plan prihoda za unos u SAP'!$G$3:$G$501,'Plan prihoda za unos u SAP'!$C$3:$C$501,"=561",'Plan prihoda za unos u SAP'!$K$3:$K$501,"=712")</f>
        <v>0</v>
      </c>
      <c r="O29" s="186">
        <f>SUMIFS('Plan prihoda za unos u SAP'!$G$3:$G$501,'Plan prihoda za unos u SAP'!$C$3:$C$501,"=563",'Plan prihoda za unos u SAP'!$K$3:$K$501,"=712")</f>
        <v>0</v>
      </c>
      <c r="P29" s="186">
        <f>SUMIFS('Plan prihoda za unos u SAP'!$G$3:$G$501,'Plan prihoda za unos u SAP'!$C$3:$C$501,"=573",'Plan prihoda za unos u SAP'!$K$3:$K$501,"=712")</f>
        <v>0</v>
      </c>
      <c r="Q29" s="186">
        <f>SUMIFS('Plan prihoda za unos u SAP'!$G$3:$G$501,'Plan prihoda za unos u SAP'!$C$3:$C$501,"=575",'Plan prihoda za unos u SAP'!$K$3:$K$501,"=712")</f>
        <v>0</v>
      </c>
      <c r="R29" s="186">
        <f>SUMIFS('Plan prihoda za unos u SAP'!$G$3:$G$501,'Plan prihoda za unos u SAP'!$C$3:$C$501,"=576",'Plan prihoda za unos u SAP'!$K$3:$K$501,"=712")</f>
        <v>0</v>
      </c>
      <c r="S29" s="186">
        <f>SUMIFS('Plan prihoda za unos u SAP'!$G$3:$G$501,'Plan prihoda za unos u SAP'!$C$3:$C$501,"=581",'Plan prihoda za unos u SAP'!$K$3:$K$501,"=712")</f>
        <v>0</v>
      </c>
      <c r="T29" s="186">
        <f>SUMIFS('Plan prihoda za unos u SAP'!$G$3:$G$501,'Plan prihoda za unos u SAP'!$C$3:$C$501,"=61",'Plan prihoda za unos u SAP'!$K$3:$K$501,"=712")</f>
        <v>0</v>
      </c>
      <c r="U29" s="186">
        <f>SUMIFS('Plan prihoda za unos u SAP'!$G$3:$G$501,'Plan prihoda za unos u SAP'!$C$3:$C$501,"=63",'Plan prihoda za unos u SAP'!$K$3:$K$501,"=712")</f>
        <v>0</v>
      </c>
      <c r="V29" s="186">
        <f>SUMIFS('Plan prihoda za unos u SAP'!$G$3:$G$501,'Plan prihoda za unos u SAP'!$C$3:$C$501,"=71",'Plan prihoda za unos u SAP'!$K$3:$K$501,"=712")</f>
        <v>0</v>
      </c>
      <c r="W29" s="186">
        <f>SUMIFS('Plan prihoda za unos u SAP'!$G$3:$G$501,'Plan prihoda za unos u SAP'!$C$3:$C$501,"=81",'Plan prihoda za unos u SAP'!$K$3:$K$501,"=712")</f>
        <v>0</v>
      </c>
    </row>
    <row r="30" spans="1:23" s="90" customFormat="1">
      <c r="A30" s="90">
        <v>2021</v>
      </c>
      <c r="B30" s="95" t="s">
        <v>301</v>
      </c>
      <c r="C30" s="100" t="s">
        <v>302</v>
      </c>
      <c r="D30" s="70">
        <f t="shared" si="0"/>
        <v>2000</v>
      </c>
      <c r="E30" s="186">
        <f>SUMIFS('Plan prihoda za unos u SAP'!$G$3:$G$501,'Plan prihoda za unos u SAP'!$C$3:$C$501,"=11",'Plan prihoda za unos u SAP'!$K$3:$K$501,"=721")</f>
        <v>0</v>
      </c>
      <c r="F30" s="186">
        <f>SUMIFS('Plan prihoda za unos u SAP'!$G$3:$G$501,'Plan prihoda za unos u SAP'!$C$3:$C$501,"=12",'Plan prihoda za unos u SAP'!$K$3:$K$501,"=721")</f>
        <v>0</v>
      </c>
      <c r="G30" s="186">
        <f>SUMIFS('Plan prihoda za unos u SAP'!$G$3:$G$501,'Plan prihoda za unos u SAP'!$C$3:$C$501,"=31",'Plan prihoda za unos u SAP'!$K$3:$K$501,"=721")</f>
        <v>0</v>
      </c>
      <c r="H30" s="186">
        <f>SUMIFS('Plan prihoda za unos u SAP'!$G$3:$G$501,'Plan prihoda za unos u SAP'!$C$3:$C$501,"=41",'Plan prihoda za unos u SAP'!$K$3:$K$501,"=721")</f>
        <v>0</v>
      </c>
      <c r="I30" s="186">
        <f>SUMIFS('Plan prihoda za unos u SAP'!$G$3:$G$501,'Plan prihoda za unos u SAP'!$C$3:$C$501,"=43",'Plan prihoda za unos u SAP'!$K$3:$K$501,"=721")</f>
        <v>0</v>
      </c>
      <c r="J30" s="186">
        <f>SUMIFS('Plan prihoda za unos u SAP'!$G$3:$G$501,'Plan prihoda za unos u SAP'!$C$3:$C$501,"=51",'Plan prihoda za unos u SAP'!$K$3:$K$501,"=721")</f>
        <v>0</v>
      </c>
      <c r="K30" s="186">
        <f>SUMIFS('Plan prihoda za unos u SAP'!$G$3:$G$501,'Plan prihoda za unos u SAP'!$C$3:$C$501,"=52",'Plan prihoda za unos u SAP'!$K$3:$K$501,"=721")</f>
        <v>0</v>
      </c>
      <c r="L30" s="186">
        <f>SUMIFS('Plan prihoda za unos u SAP'!$G$3:$G$501,'Plan prihoda za unos u SAP'!$C$3:$C$501,"=552",'Plan prihoda za unos u SAP'!$K$3:$K$501,"=721")</f>
        <v>0</v>
      </c>
      <c r="M30" s="186">
        <f>SUMIFS('Plan prihoda za unos u SAP'!$G$3:$G$501,'Plan prihoda za unos u SAP'!$C$3:$C$501,"=559",'Plan prihoda za unos u SAP'!$K$3:$K$501,"=721")</f>
        <v>0</v>
      </c>
      <c r="N30" s="186">
        <f>SUMIFS('Plan prihoda za unos u SAP'!$G$3:$G$501,'Plan prihoda za unos u SAP'!$C$3:$C$501,"=561",'Plan prihoda za unos u SAP'!$K$3:$K$501,"=721")</f>
        <v>0</v>
      </c>
      <c r="O30" s="186">
        <f>SUMIFS('Plan prihoda za unos u SAP'!$G$3:$G$501,'Plan prihoda za unos u SAP'!$C$3:$C$501,"=563",'Plan prihoda za unos u SAP'!$K$3:$K$501,"=721")</f>
        <v>0</v>
      </c>
      <c r="P30" s="186">
        <f>SUMIFS('Plan prihoda za unos u SAP'!$G$3:$G$501,'Plan prihoda za unos u SAP'!$C$3:$C$501,"=573",'Plan prihoda za unos u SAP'!$K$3:$K$501,"=721")</f>
        <v>0</v>
      </c>
      <c r="Q30" s="186">
        <f>SUMIFS('Plan prihoda za unos u SAP'!$G$3:$G$501,'Plan prihoda za unos u SAP'!$C$3:$C$501,"=575",'Plan prihoda za unos u SAP'!$K$3:$K$501,"=721")</f>
        <v>0</v>
      </c>
      <c r="R30" s="186">
        <f>SUMIFS('Plan prihoda za unos u SAP'!$G$3:$G$501,'Plan prihoda za unos u SAP'!$C$3:$C$501,"=576",'Plan prihoda za unos u SAP'!$K$3:$K$501,"=721")</f>
        <v>0</v>
      </c>
      <c r="S30" s="186">
        <f>SUMIFS('Plan prihoda za unos u SAP'!$G$3:$G$501,'Plan prihoda za unos u SAP'!$C$3:$C$501,"=581",'Plan prihoda za unos u SAP'!$K$3:$K$501,"=721")</f>
        <v>0</v>
      </c>
      <c r="T30" s="186">
        <f>SUMIFS('Plan prihoda za unos u SAP'!$G$3:$G$501,'Plan prihoda za unos u SAP'!$C$3:$C$501,"=61",'Plan prihoda za unos u SAP'!$K$3:$K$501,"=721")</f>
        <v>0</v>
      </c>
      <c r="U30" s="186">
        <f>SUMIFS('Plan prihoda za unos u SAP'!$G$3:$G$501,'Plan prihoda za unos u SAP'!$C$3:$C$501,"=63",'Plan prihoda za unos u SAP'!$K$3:$K$501,"=721")</f>
        <v>0</v>
      </c>
      <c r="V30" s="186">
        <f>SUMIFS('Plan prihoda za unos u SAP'!$G$3:$G$501,'Plan prihoda za unos u SAP'!$C$3:$C$501,"=71",'Plan prihoda za unos u SAP'!$K$3:$K$501,"=721")</f>
        <v>2000</v>
      </c>
      <c r="W30" s="186">
        <f>SUMIFS('Plan prihoda za unos u SAP'!$G$3:$G$501,'Plan prihoda za unos u SAP'!$C$3:$C$501,"=81",'Plan prihoda za unos u SAP'!$K$3:$K$501,"=721")</f>
        <v>0</v>
      </c>
    </row>
    <row r="31" spans="1:23" s="90" customFormat="1">
      <c r="A31" s="90">
        <v>2021</v>
      </c>
      <c r="B31" s="95" t="s">
        <v>303</v>
      </c>
      <c r="C31" s="100" t="s">
        <v>304</v>
      </c>
      <c r="D31" s="70">
        <f t="shared" si="0"/>
        <v>0</v>
      </c>
      <c r="E31" s="186">
        <f>SUMIFS('Plan prihoda za unos u SAP'!$G$3:$G$501,'Plan prihoda za unos u SAP'!$C$3:$C$501,"=11",'Plan prihoda za unos u SAP'!$K$3:$K$501,"=722")</f>
        <v>0</v>
      </c>
      <c r="F31" s="186">
        <f>SUMIFS('Plan prihoda za unos u SAP'!$G$3:$G$501,'Plan prihoda za unos u SAP'!$C$3:$C$501,"=12",'Plan prihoda za unos u SAP'!$K$3:$K$501,"=722")</f>
        <v>0</v>
      </c>
      <c r="G31" s="186">
        <f>SUMIFS('Plan prihoda za unos u SAP'!$G$3:$G$501,'Plan prihoda za unos u SAP'!$C$3:$C$501,"=31",'Plan prihoda za unos u SAP'!$K$3:$K$501,"=722")</f>
        <v>0</v>
      </c>
      <c r="H31" s="186">
        <f>SUMIFS('Plan prihoda za unos u SAP'!$G$3:$G$501,'Plan prihoda za unos u SAP'!$C$3:$C$501,"=41",'Plan prihoda za unos u SAP'!$K$3:$K$501,"=722")</f>
        <v>0</v>
      </c>
      <c r="I31" s="186">
        <f>SUMIFS('Plan prihoda za unos u SAP'!$G$3:$G$501,'Plan prihoda za unos u SAP'!$C$3:$C$501,"=43",'Plan prihoda za unos u SAP'!$K$3:$K$501,"=722")</f>
        <v>0</v>
      </c>
      <c r="J31" s="186">
        <f>SUMIFS('Plan prihoda za unos u SAP'!$G$3:$G$501,'Plan prihoda za unos u SAP'!$C$3:$C$501,"=51",'Plan prihoda za unos u SAP'!$K$3:$K$501,"=722")</f>
        <v>0</v>
      </c>
      <c r="K31" s="186">
        <f>SUMIFS('Plan prihoda za unos u SAP'!$G$3:$G$501,'Plan prihoda za unos u SAP'!$C$3:$C$501,"=52",'Plan prihoda za unos u SAP'!$K$3:$K$501,"=722")</f>
        <v>0</v>
      </c>
      <c r="L31" s="186">
        <f>SUMIFS('Plan prihoda za unos u SAP'!$G$3:$G$501,'Plan prihoda za unos u SAP'!$C$3:$C$501,"=552",'Plan prihoda za unos u SAP'!$K$3:$K$501,"=722")</f>
        <v>0</v>
      </c>
      <c r="M31" s="186">
        <f>SUMIFS('Plan prihoda za unos u SAP'!$G$3:$G$501,'Plan prihoda za unos u SAP'!$C$3:$C$501,"=559",'Plan prihoda za unos u SAP'!$K$3:$K$501,"=722")</f>
        <v>0</v>
      </c>
      <c r="N31" s="186">
        <f>SUMIFS('Plan prihoda za unos u SAP'!$G$3:$G$501,'Plan prihoda za unos u SAP'!$C$3:$C$501,"=561",'Plan prihoda za unos u SAP'!$K$3:$K$501,"=722")</f>
        <v>0</v>
      </c>
      <c r="O31" s="186">
        <f>SUMIFS('Plan prihoda za unos u SAP'!$G$3:$G$501,'Plan prihoda za unos u SAP'!$C$3:$C$501,"=563",'Plan prihoda za unos u SAP'!$K$3:$K$501,"=722")</f>
        <v>0</v>
      </c>
      <c r="P31" s="186">
        <f>SUMIFS('Plan prihoda za unos u SAP'!$G$3:$G$501,'Plan prihoda za unos u SAP'!$C$3:$C$501,"=573",'Plan prihoda za unos u SAP'!$K$3:$K$501,"=722")</f>
        <v>0</v>
      </c>
      <c r="Q31" s="186">
        <f>SUMIFS('Plan prihoda za unos u SAP'!$G$3:$G$501,'Plan prihoda za unos u SAP'!$C$3:$C$501,"=575",'Plan prihoda za unos u SAP'!$K$3:$K$501,"=722")</f>
        <v>0</v>
      </c>
      <c r="R31" s="186">
        <f>SUMIFS('Plan prihoda za unos u SAP'!$G$3:$G$501,'Plan prihoda za unos u SAP'!$C$3:$C$501,"=576",'Plan prihoda za unos u SAP'!$K$3:$K$501,"=722")</f>
        <v>0</v>
      </c>
      <c r="S31" s="186">
        <f>SUMIFS('Plan prihoda za unos u SAP'!$G$3:$G$501,'Plan prihoda za unos u SAP'!$C$3:$C$501,"=581",'Plan prihoda za unos u SAP'!$K$3:$K$501,"=722")</f>
        <v>0</v>
      </c>
      <c r="T31" s="186">
        <f>SUMIFS('Plan prihoda za unos u SAP'!$G$3:$G$501,'Plan prihoda za unos u SAP'!$C$3:$C$501,"=61",'Plan prihoda za unos u SAP'!$K$3:$K$501,"=722")</f>
        <v>0</v>
      </c>
      <c r="U31" s="186">
        <f>SUMIFS('Plan prihoda za unos u SAP'!$G$3:$G$501,'Plan prihoda za unos u SAP'!$C$3:$C$501,"=63",'Plan prihoda za unos u SAP'!$K$3:$K$501,"=722")</f>
        <v>0</v>
      </c>
      <c r="V31" s="186">
        <f>SUMIFS('Plan prihoda za unos u SAP'!$G$3:$G$501,'Plan prihoda za unos u SAP'!$C$3:$C$501,"=71",'Plan prihoda za unos u SAP'!$K$3:$K$501,"=722")</f>
        <v>0</v>
      </c>
      <c r="W31" s="186">
        <f>SUMIFS('Plan prihoda za unos u SAP'!$G$3:$G$501,'Plan prihoda za unos u SAP'!$C$3:$C$501,"=81",'Plan prihoda za unos u SAP'!$K$3:$K$501,"=722")</f>
        <v>0</v>
      </c>
    </row>
    <row r="32" spans="1:23" s="90" customFormat="1">
      <c r="A32" s="90">
        <v>2021</v>
      </c>
      <c r="B32" s="95" t="s">
        <v>305</v>
      </c>
      <c r="C32" s="100" t="s">
        <v>306</v>
      </c>
      <c r="D32" s="70">
        <f t="shared" si="0"/>
        <v>0</v>
      </c>
      <c r="E32" s="186">
        <f>SUMIFS('Plan prihoda za unos u SAP'!$G$3:$G$501,'Plan prihoda za unos u SAP'!$C$3:$C$501,"=11",'Plan prihoda za unos u SAP'!$K$3:$K$501,"=723")</f>
        <v>0</v>
      </c>
      <c r="F32" s="186">
        <f>SUMIFS('Plan prihoda za unos u SAP'!$G$3:$G$501,'Plan prihoda za unos u SAP'!$C$3:$C$501,"=12",'Plan prihoda za unos u SAP'!$K$3:$K$501,"=723")</f>
        <v>0</v>
      </c>
      <c r="G32" s="186">
        <f>SUMIFS('Plan prihoda za unos u SAP'!$G$3:$G$501,'Plan prihoda za unos u SAP'!$C$3:$C$501,"=31",'Plan prihoda za unos u SAP'!$K$3:$K$501,"=723")</f>
        <v>0</v>
      </c>
      <c r="H32" s="186">
        <f>SUMIFS('Plan prihoda za unos u SAP'!$G$3:$G$501,'Plan prihoda za unos u SAP'!$C$3:$C$501,"=41",'Plan prihoda za unos u SAP'!$K$3:$K$501,"=723")</f>
        <v>0</v>
      </c>
      <c r="I32" s="186">
        <f>SUMIFS('Plan prihoda za unos u SAP'!$G$3:$G$501,'Plan prihoda za unos u SAP'!$C$3:$C$501,"=43",'Plan prihoda za unos u SAP'!$K$3:$K$501,"=723")</f>
        <v>0</v>
      </c>
      <c r="J32" s="186">
        <f>SUMIFS('Plan prihoda za unos u SAP'!$G$3:$G$501,'Plan prihoda za unos u SAP'!$C$3:$C$501,"=51",'Plan prihoda za unos u SAP'!$K$3:$K$501,"=723")</f>
        <v>0</v>
      </c>
      <c r="K32" s="186">
        <f>SUMIFS('Plan prihoda za unos u SAP'!$G$3:$G$501,'Plan prihoda za unos u SAP'!$C$3:$C$501,"=52",'Plan prihoda za unos u SAP'!$K$3:$K$501,"=723")</f>
        <v>0</v>
      </c>
      <c r="L32" s="186">
        <f>SUMIFS('Plan prihoda za unos u SAP'!$G$3:$G$501,'Plan prihoda za unos u SAP'!$C$3:$C$501,"=552",'Plan prihoda za unos u SAP'!$K$3:$K$501,"=723")</f>
        <v>0</v>
      </c>
      <c r="M32" s="186">
        <f>SUMIFS('Plan prihoda za unos u SAP'!$G$3:$G$501,'Plan prihoda za unos u SAP'!$C$3:$C$501,"=559",'Plan prihoda za unos u SAP'!$K$3:$K$501,"=723")</f>
        <v>0</v>
      </c>
      <c r="N32" s="186">
        <f>SUMIFS('Plan prihoda za unos u SAP'!$G$3:$G$501,'Plan prihoda za unos u SAP'!$C$3:$C$501,"=561",'Plan prihoda za unos u SAP'!$K$3:$K$501,"=723")</f>
        <v>0</v>
      </c>
      <c r="O32" s="186">
        <f>SUMIFS('Plan prihoda za unos u SAP'!$G$3:$G$501,'Plan prihoda za unos u SAP'!$C$3:$C$501,"=563",'Plan prihoda za unos u SAP'!$K$3:$K$501,"=723")</f>
        <v>0</v>
      </c>
      <c r="P32" s="186">
        <f>SUMIFS('Plan prihoda za unos u SAP'!$G$3:$G$501,'Plan prihoda za unos u SAP'!$C$3:$C$501,"=573",'Plan prihoda za unos u SAP'!$K$3:$K$501,"=723")</f>
        <v>0</v>
      </c>
      <c r="Q32" s="186">
        <f>SUMIFS('Plan prihoda za unos u SAP'!$G$3:$G$501,'Plan prihoda za unos u SAP'!$C$3:$C$501,"=575",'Plan prihoda za unos u SAP'!$K$3:$K$501,"=723")</f>
        <v>0</v>
      </c>
      <c r="R32" s="186">
        <f>SUMIFS('Plan prihoda za unos u SAP'!$G$3:$G$501,'Plan prihoda za unos u SAP'!$C$3:$C$501,"=576",'Plan prihoda za unos u SAP'!$K$3:$K$501,"=723")</f>
        <v>0</v>
      </c>
      <c r="S32" s="186">
        <f>SUMIFS('Plan prihoda za unos u SAP'!$G$3:$G$501,'Plan prihoda za unos u SAP'!$C$3:$C$501,"=581",'Plan prihoda za unos u SAP'!$K$3:$K$501,"=723")</f>
        <v>0</v>
      </c>
      <c r="T32" s="186">
        <f>SUMIFS('Plan prihoda za unos u SAP'!$G$3:$G$501,'Plan prihoda za unos u SAP'!$C$3:$C$501,"=61",'Plan prihoda za unos u SAP'!$K$3:$K$501,"=723")</f>
        <v>0</v>
      </c>
      <c r="U32" s="186">
        <f>SUMIFS('Plan prihoda za unos u SAP'!$G$3:$G$501,'Plan prihoda za unos u SAP'!$C$3:$C$501,"=63",'Plan prihoda za unos u SAP'!$K$3:$K$501,"=723")</f>
        <v>0</v>
      </c>
      <c r="V32" s="186">
        <f>SUMIFS('Plan prihoda za unos u SAP'!$G$3:$G$501,'Plan prihoda za unos u SAP'!$C$3:$C$501,"=71",'Plan prihoda za unos u SAP'!$K$3:$K$501,"=723")</f>
        <v>0</v>
      </c>
      <c r="W32" s="186">
        <f>SUMIFS('Plan prihoda za unos u SAP'!$G$3:$G$501,'Plan prihoda za unos u SAP'!$C$3:$C$501,"=81",'Plan prihoda za unos u SAP'!$K$3:$K$501,"=723")</f>
        <v>0</v>
      </c>
    </row>
    <row r="33" spans="1:29" s="90" customFormat="1">
      <c r="A33" s="90">
        <v>2021</v>
      </c>
      <c r="B33" s="95" t="s">
        <v>315</v>
      </c>
      <c r="C33" s="100" t="s">
        <v>316</v>
      </c>
      <c r="D33" s="70">
        <f t="shared" si="0"/>
        <v>0</v>
      </c>
      <c r="E33" s="186">
        <f>SUMIFS('Plan prihoda za unos u SAP'!$G$3:$G$501,'Plan prihoda za unos u SAP'!$C$3:$C$501,"=11",'Plan prihoda za unos u SAP'!$K$3:$K$501,"=725")</f>
        <v>0</v>
      </c>
      <c r="F33" s="186">
        <f>SUMIFS('Plan prihoda za unos u SAP'!$G$3:$G$501,'Plan prihoda za unos u SAP'!$C$3:$C$501,"=12",'Plan prihoda za unos u SAP'!$K$3:$K$501,"=725")</f>
        <v>0</v>
      </c>
      <c r="G33" s="186">
        <f>SUMIFS('Plan prihoda za unos u SAP'!$G$3:$G$501,'Plan prihoda za unos u SAP'!$C$3:$C$501,"=31",'Plan prihoda za unos u SAP'!$K$3:$K$501,"=725")</f>
        <v>0</v>
      </c>
      <c r="H33" s="186">
        <f>SUMIFS('Plan prihoda za unos u SAP'!$G$3:$G$501,'Plan prihoda za unos u SAP'!$C$3:$C$501,"=41",'Plan prihoda za unos u SAP'!$K$3:$K$501,"=725")</f>
        <v>0</v>
      </c>
      <c r="I33" s="186">
        <f>SUMIFS('Plan prihoda za unos u SAP'!$G$3:$G$501,'Plan prihoda za unos u SAP'!$C$3:$C$501,"=43",'Plan prihoda za unos u SAP'!$K$3:$K$501,"=725")</f>
        <v>0</v>
      </c>
      <c r="J33" s="186">
        <f>SUMIFS('Plan prihoda za unos u SAP'!$G$3:$G$501,'Plan prihoda za unos u SAP'!$C$3:$C$501,"=51",'Plan prihoda za unos u SAP'!$K$3:$K$501,"=725")</f>
        <v>0</v>
      </c>
      <c r="K33" s="186">
        <f>SUMIFS('Plan prihoda za unos u SAP'!$G$3:$G$501,'Plan prihoda za unos u SAP'!$C$3:$C$501,"=52",'Plan prihoda za unos u SAP'!$K$3:$K$501,"=725")</f>
        <v>0</v>
      </c>
      <c r="L33" s="186">
        <f>SUMIFS('Plan prihoda za unos u SAP'!$G$3:$G$501,'Plan prihoda za unos u SAP'!$C$3:$C$501,"=552",'Plan prihoda za unos u SAP'!$K$3:$K$501,"=725")</f>
        <v>0</v>
      </c>
      <c r="M33" s="186">
        <f>SUMIFS('Plan prihoda za unos u SAP'!$G$3:$G$501,'Plan prihoda za unos u SAP'!$C$3:$C$501,"=559",'Plan prihoda za unos u SAP'!$K$3:$K$501,"=725")</f>
        <v>0</v>
      </c>
      <c r="N33" s="186">
        <f>SUMIFS('Plan prihoda za unos u SAP'!$G$3:$G$501,'Plan prihoda za unos u SAP'!$C$3:$C$501,"=561",'Plan prihoda za unos u SAP'!$K$3:$K$501,"=725")</f>
        <v>0</v>
      </c>
      <c r="O33" s="186">
        <f>SUMIFS('Plan prihoda za unos u SAP'!$G$3:$G$501,'Plan prihoda za unos u SAP'!$C$3:$C$501,"=563",'Plan prihoda za unos u SAP'!$K$3:$K$501,"=725")</f>
        <v>0</v>
      </c>
      <c r="P33" s="186">
        <f>SUMIFS('Plan prihoda za unos u SAP'!$G$3:$G$501,'Plan prihoda za unos u SAP'!$C$3:$C$501,"=573",'Plan prihoda za unos u SAP'!$K$3:$K$501,"=725")</f>
        <v>0</v>
      </c>
      <c r="Q33" s="186">
        <f>SUMIFS('Plan prihoda za unos u SAP'!$G$3:$G$501,'Plan prihoda za unos u SAP'!$C$3:$C$501,"=575",'Plan prihoda za unos u SAP'!$K$3:$K$501,"=725")</f>
        <v>0</v>
      </c>
      <c r="R33" s="186">
        <f>SUMIFS('Plan prihoda za unos u SAP'!$G$3:$G$501,'Plan prihoda za unos u SAP'!$C$3:$C$501,"=576",'Plan prihoda za unos u SAP'!$K$3:$K$501,"=725")</f>
        <v>0</v>
      </c>
      <c r="S33" s="186">
        <f>SUMIFS('Plan prihoda za unos u SAP'!$G$3:$G$501,'Plan prihoda za unos u SAP'!$C$3:$C$501,"=581",'Plan prihoda za unos u SAP'!$K$3:$K$501,"=725")</f>
        <v>0</v>
      </c>
      <c r="T33" s="186">
        <f>SUMIFS('Plan prihoda za unos u SAP'!$G$3:$G$501,'Plan prihoda za unos u SAP'!$C$3:$C$501,"=61",'Plan prihoda za unos u SAP'!$K$3:$K$501,"=725")</f>
        <v>0</v>
      </c>
      <c r="U33" s="186">
        <f>SUMIFS('Plan prihoda za unos u SAP'!$G$3:$G$501,'Plan prihoda za unos u SAP'!$C$3:$C$501,"=63",'Plan prihoda za unos u SAP'!$K$3:$K$501,"=725")</f>
        <v>0</v>
      </c>
      <c r="V33" s="186">
        <f>SUMIFS('Plan prihoda za unos u SAP'!$G$3:$G$501,'Plan prihoda za unos u SAP'!$C$3:$C$501,"=71",'Plan prihoda za unos u SAP'!$K$3:$K$501,"=725")</f>
        <v>0</v>
      </c>
      <c r="W33" s="186">
        <f>SUMIFS('Plan prihoda za unos u SAP'!$G$3:$G$501,'Plan prihoda za unos u SAP'!$C$3:$C$501,"=81",'Plan prihoda za unos u SAP'!$K$3:$K$501,"=725")</f>
        <v>0</v>
      </c>
    </row>
    <row r="34" spans="1:29" s="90" customFormat="1">
      <c r="A34" s="90">
        <v>2021</v>
      </c>
      <c r="B34" s="98" t="s">
        <v>307</v>
      </c>
      <c r="C34" s="99" t="s">
        <v>300</v>
      </c>
      <c r="D34" s="70">
        <f t="shared" si="0"/>
        <v>2000</v>
      </c>
      <c r="E34" s="4">
        <f t="shared" ref="E34:W34" si="9">SUM(E28:E33)</f>
        <v>0</v>
      </c>
      <c r="F34" s="4">
        <f t="shared" si="9"/>
        <v>0</v>
      </c>
      <c r="G34" s="4">
        <f t="shared" si="9"/>
        <v>0</v>
      </c>
      <c r="H34" s="4">
        <f>SUM(H28:H33)</f>
        <v>0</v>
      </c>
      <c r="I34" s="4">
        <f t="shared" si="9"/>
        <v>0</v>
      </c>
      <c r="J34" s="4">
        <f t="shared" si="9"/>
        <v>0</v>
      </c>
      <c r="K34" s="4">
        <f t="shared" si="9"/>
        <v>0</v>
      </c>
      <c r="L34" s="4">
        <f>SUM(L28:L33)</f>
        <v>0</v>
      </c>
      <c r="M34" s="4">
        <f t="shared" si="9"/>
        <v>0</v>
      </c>
      <c r="N34" s="4">
        <f t="shared" si="9"/>
        <v>0</v>
      </c>
      <c r="O34" s="4">
        <f t="shared" si="9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>SUM(S28:S33)</f>
        <v>0</v>
      </c>
      <c r="T34" s="4">
        <f t="shared" si="9"/>
        <v>0</v>
      </c>
      <c r="U34" s="4">
        <f t="shared" si="9"/>
        <v>0</v>
      </c>
      <c r="V34" s="4">
        <f t="shared" si="9"/>
        <v>2000</v>
      </c>
      <c r="W34" s="4">
        <f t="shared" si="9"/>
        <v>0</v>
      </c>
    </row>
    <row r="35" spans="1:29" s="90" customFormat="1">
      <c r="A35" s="90">
        <v>2021</v>
      </c>
      <c r="B35" s="101">
        <v>818</v>
      </c>
      <c r="C35" s="102" t="s">
        <v>1381</v>
      </c>
      <c r="D35" s="70">
        <f t="shared" si="0"/>
        <v>0</v>
      </c>
      <c r="E35" s="186">
        <f>SUMIFS('Plan prihoda za unos u SAP'!$G$3:$G$501,'Plan prihoda za unos u SAP'!$C$3:$C$501,"=11",'Plan prihoda za unos u SAP'!$K$3:$K$501,"=818")</f>
        <v>0</v>
      </c>
      <c r="F35" s="186">
        <f>SUMIFS('Plan prihoda za unos u SAP'!$G$3:$G$501,'Plan prihoda za unos u SAP'!$C$3:$C$501,"=12",'Plan prihoda za unos u SAP'!$K$3:$K$501,"=818")</f>
        <v>0</v>
      </c>
      <c r="G35" s="186">
        <f>SUMIFS('Plan prihoda za unos u SAP'!$G$3:$G$501,'Plan prihoda za unos u SAP'!$C$3:$C$501,"=31",'Plan prihoda za unos u SAP'!$K$3:$K$501,"=818")</f>
        <v>0</v>
      </c>
      <c r="H35" s="186">
        <f>SUMIFS('Plan prihoda za unos u SAP'!$G$3:$G$501,'Plan prihoda za unos u SAP'!$C$3:$C$501,"=41",'Plan prihoda za unos u SAP'!$K$3:$K$501,"=818")</f>
        <v>0</v>
      </c>
      <c r="I35" s="186">
        <f>SUMIFS('Plan prihoda za unos u SAP'!$G$3:$G$501,'Plan prihoda za unos u SAP'!$C$3:$C$501,"=43",'Plan prihoda za unos u SAP'!$K$3:$K$501,"=818")</f>
        <v>0</v>
      </c>
      <c r="J35" s="186">
        <f>SUMIFS('Plan prihoda za unos u SAP'!$G$3:$G$501,'Plan prihoda za unos u SAP'!$C$3:$C$501,"=51",'Plan prihoda za unos u SAP'!$K$3:$K$501,"=818")</f>
        <v>0</v>
      </c>
      <c r="K35" s="186">
        <f>SUMIFS('Plan prihoda za unos u SAP'!$G$3:$G$501,'Plan prihoda za unos u SAP'!$C$3:$C$501,"=52",'Plan prihoda za unos u SAP'!$K$3:$K$501,"=818")</f>
        <v>0</v>
      </c>
      <c r="L35" s="186">
        <f>SUMIFS('Plan prihoda za unos u SAP'!$G$3:$G$501,'Plan prihoda za unos u SAP'!$C$3:$C$501,"=552",'Plan prihoda za unos u SAP'!$K$3:$K$501,"=818")</f>
        <v>0</v>
      </c>
      <c r="M35" s="186">
        <f>SUMIFS('Plan prihoda za unos u SAP'!$G$3:$G$501,'Plan prihoda za unos u SAP'!$C$3:$C$501,"=559",'Plan prihoda za unos u SAP'!$K$3:$K$501,"=818")</f>
        <v>0</v>
      </c>
      <c r="N35" s="186">
        <f>SUMIFS('Plan prihoda za unos u SAP'!$G$3:$G$501,'Plan prihoda za unos u SAP'!$C$3:$C$501,"=561",'Plan prihoda za unos u SAP'!$K$3:$K$501,"=818")</f>
        <v>0</v>
      </c>
      <c r="O35" s="186">
        <f>SUMIFS('Plan prihoda za unos u SAP'!$G$3:$G$501,'Plan prihoda za unos u SAP'!$C$3:$C$501,"=563",'Plan prihoda za unos u SAP'!$K$3:$K$501,"=818")</f>
        <v>0</v>
      </c>
      <c r="P35" s="186">
        <f>SUMIFS('Plan prihoda za unos u SAP'!$G$3:$G$501,'Plan prihoda za unos u SAP'!$C$3:$C$501,"=573",'Plan prihoda za unos u SAP'!$K$3:$K$501,"=818")</f>
        <v>0</v>
      </c>
      <c r="Q35" s="186">
        <f>SUMIFS('Plan prihoda za unos u SAP'!$G$3:$G$501,'Plan prihoda za unos u SAP'!$C$3:$C$501,"=575",'Plan prihoda za unos u SAP'!$K$3:$K$501,"=818")</f>
        <v>0</v>
      </c>
      <c r="R35" s="186">
        <f>SUMIFS('Plan prihoda za unos u SAP'!$G$3:$G$501,'Plan prihoda za unos u SAP'!$C$3:$C$501,"=576",'Plan prihoda za unos u SAP'!$K$3:$K$501,"=818")</f>
        <v>0</v>
      </c>
      <c r="S35" s="186">
        <f>SUMIFS('Plan prihoda za unos u SAP'!$G$3:$G$501,'Plan prihoda za unos u SAP'!$C$3:$C$501,"=581",'Plan prihoda za unos u SAP'!$K$3:$K$501,"=818")</f>
        <v>0</v>
      </c>
      <c r="T35" s="186">
        <f>SUMIFS('Plan prihoda za unos u SAP'!$G$3:$G$501,'Plan prihoda za unos u SAP'!$C$3:$C$501,"=61",'Plan prihoda za unos u SAP'!$K$3:$K$501,"=818")</f>
        <v>0</v>
      </c>
      <c r="U35" s="186">
        <f>SUMIFS('Plan prihoda za unos u SAP'!$G$3:$G$501,'Plan prihoda za unos u SAP'!$C$3:$C$501,"=63",'Plan prihoda za unos u SAP'!$K$3:$K$501,"=818")</f>
        <v>0</v>
      </c>
      <c r="V35" s="186">
        <f>SUMIFS('Plan prihoda za unos u SAP'!$G$3:$G$501,'Plan prihoda za unos u SAP'!$C$3:$C$501,"=71",'Plan prihoda za unos u SAP'!$K$3:$K$501,"=818")</f>
        <v>0</v>
      </c>
      <c r="W35" s="186">
        <f>SUMIFS('Plan prihoda za unos u SAP'!$G$3:$G$501,'Plan prihoda za unos u SAP'!$C$3:$C$501,"=81",'Plan prihoda za unos u SAP'!$K$3:$K$501,"=818")</f>
        <v>0</v>
      </c>
    </row>
    <row r="36" spans="1:29" s="90" customFormat="1">
      <c r="A36" s="90">
        <v>2021</v>
      </c>
      <c r="B36" s="101">
        <v>832</v>
      </c>
      <c r="C36" s="102" t="s">
        <v>1382</v>
      </c>
      <c r="D36" s="70">
        <f t="shared" si="0"/>
        <v>0</v>
      </c>
      <c r="E36" s="186">
        <f>SUMIFS('Plan prihoda za unos u SAP'!$G$3:$G$501,'Plan prihoda za unos u SAP'!$C$3:$C$501,"=11",'Plan prihoda za unos u SAP'!$K$3:$K$501,"=832")</f>
        <v>0</v>
      </c>
      <c r="F36" s="186">
        <f>SUMIFS('Plan prihoda za unos u SAP'!$G$3:$G$501,'Plan prihoda za unos u SAP'!$C$3:$C$501,"=12",'Plan prihoda za unos u SAP'!$K$3:$K$501,"=832")</f>
        <v>0</v>
      </c>
      <c r="G36" s="186">
        <f>SUMIFS('Plan prihoda za unos u SAP'!$G$3:$G$501,'Plan prihoda za unos u SAP'!$C$3:$C$501,"=31",'Plan prihoda za unos u SAP'!$K$3:$K$501,"=832")</f>
        <v>0</v>
      </c>
      <c r="H36" s="186">
        <f>SUMIFS('Plan prihoda za unos u SAP'!$G$3:$G$501,'Plan prihoda za unos u SAP'!$C$3:$C$501,"=41",'Plan prihoda za unos u SAP'!$K$3:$K$501,"=832")</f>
        <v>0</v>
      </c>
      <c r="I36" s="186">
        <f>SUMIFS('Plan prihoda za unos u SAP'!$G$3:$G$501,'Plan prihoda za unos u SAP'!$C$3:$C$501,"=43",'Plan prihoda za unos u SAP'!$K$3:$K$501,"=832")</f>
        <v>0</v>
      </c>
      <c r="J36" s="186">
        <f>SUMIFS('Plan prihoda za unos u SAP'!$G$3:$G$501,'Plan prihoda za unos u SAP'!$C$3:$C$501,"=51",'Plan prihoda za unos u SAP'!$K$3:$K$501,"=832")</f>
        <v>0</v>
      </c>
      <c r="K36" s="186">
        <f>SUMIFS('Plan prihoda za unos u SAP'!$G$3:$G$501,'Plan prihoda za unos u SAP'!$C$3:$C$501,"=52",'Plan prihoda za unos u SAP'!$K$3:$K$501,"=832")</f>
        <v>0</v>
      </c>
      <c r="L36" s="186">
        <f>SUMIFS('Plan prihoda za unos u SAP'!$G$3:$G$501,'Plan prihoda za unos u SAP'!$C$3:$C$501,"=552",'Plan prihoda za unos u SAP'!$K$3:$K$501,"=832")</f>
        <v>0</v>
      </c>
      <c r="M36" s="186">
        <f>SUMIFS('Plan prihoda za unos u SAP'!$G$3:$G$501,'Plan prihoda za unos u SAP'!$C$3:$C$501,"=559",'Plan prihoda za unos u SAP'!$K$3:$K$501,"=832")</f>
        <v>0</v>
      </c>
      <c r="N36" s="186">
        <f>SUMIFS('Plan prihoda za unos u SAP'!$G$3:$G$501,'Plan prihoda za unos u SAP'!$C$3:$C$501,"=561",'Plan prihoda za unos u SAP'!$K$3:$K$501,"=832")</f>
        <v>0</v>
      </c>
      <c r="O36" s="186">
        <f>SUMIFS('Plan prihoda za unos u SAP'!$G$3:$G$501,'Plan prihoda za unos u SAP'!$C$3:$C$501,"=563",'Plan prihoda za unos u SAP'!$K$3:$K$501,"=832")</f>
        <v>0</v>
      </c>
      <c r="P36" s="186">
        <f>SUMIFS('Plan prihoda za unos u SAP'!$G$3:$G$501,'Plan prihoda za unos u SAP'!$C$3:$C$501,"=573",'Plan prihoda za unos u SAP'!$K$3:$K$501,"=832")</f>
        <v>0</v>
      </c>
      <c r="Q36" s="186">
        <f>SUMIFS('Plan prihoda za unos u SAP'!$G$3:$G$501,'Plan prihoda za unos u SAP'!$C$3:$C$501,"=575",'Plan prihoda za unos u SAP'!$K$3:$K$501,"=832")</f>
        <v>0</v>
      </c>
      <c r="R36" s="186">
        <f>SUMIFS('Plan prihoda za unos u SAP'!$G$3:$G$501,'Plan prihoda za unos u SAP'!$C$3:$C$501,"=576",'Plan prihoda za unos u SAP'!$K$3:$K$501,"=832")</f>
        <v>0</v>
      </c>
      <c r="S36" s="186">
        <f>SUMIFS('Plan prihoda za unos u SAP'!$G$3:$G$501,'Plan prihoda za unos u SAP'!$C$3:$C$501,"=581",'Plan prihoda za unos u SAP'!$K$3:$K$501,"=832")</f>
        <v>0</v>
      </c>
      <c r="T36" s="186">
        <f>SUMIFS('Plan prihoda za unos u SAP'!$G$3:$G$501,'Plan prihoda za unos u SAP'!$C$3:$C$501,"=61",'Plan prihoda za unos u SAP'!$K$3:$K$501,"=832")</f>
        <v>0</v>
      </c>
      <c r="U36" s="186">
        <f>SUMIFS('Plan prihoda za unos u SAP'!$G$3:$G$501,'Plan prihoda za unos u SAP'!$C$3:$C$501,"=63",'Plan prihoda za unos u SAP'!$K$3:$K$501,"=832")</f>
        <v>0</v>
      </c>
      <c r="V36" s="186">
        <f>SUMIFS('Plan prihoda za unos u SAP'!$G$3:$G$501,'Plan prihoda za unos u SAP'!$C$3:$C$501,"=71",'Plan prihoda za unos u SAP'!$K$3:$K$501,"=832")</f>
        <v>0</v>
      </c>
      <c r="W36" s="186">
        <f>SUMIFS('Plan prihoda za unos u SAP'!$G$3:$G$501,'Plan prihoda za unos u SAP'!$C$3:$C$501,"=81",'Plan prihoda za unos u SAP'!$K$3:$K$501,"=832")</f>
        <v>0</v>
      </c>
    </row>
    <row r="37" spans="1:29" s="90" customFormat="1" ht="25.5">
      <c r="A37" s="90">
        <v>2021</v>
      </c>
      <c r="B37" s="237">
        <v>833</v>
      </c>
      <c r="C37" s="102" t="s">
        <v>1911</v>
      </c>
      <c r="D37" s="70">
        <f t="shared" si="0"/>
        <v>0</v>
      </c>
      <c r="E37" s="186">
        <f>SUMIFS('Plan prihoda za unos u SAP'!$G$3:$G$501,'Plan prihoda za unos u SAP'!$C$3:$C$501,"=11",'Plan prihoda za unos u SAP'!$K$3:$K$501,"=833")</f>
        <v>0</v>
      </c>
      <c r="F37" s="186">
        <f>SUMIFS('Plan prihoda za unos u SAP'!$G$3:$G$501,'Plan prihoda za unos u SAP'!$C$3:$C$501,"=12",'Plan prihoda za unos u SAP'!$K$3:$K$501,"=833")</f>
        <v>0</v>
      </c>
      <c r="G37" s="186">
        <f>SUMIFS('Plan prihoda za unos u SAP'!$G$3:$G$501,'Plan prihoda za unos u SAP'!$C$3:$C$501,"=31",'Plan prihoda za unos u SAP'!$K$3:$K$501,"=833")</f>
        <v>0</v>
      </c>
      <c r="H37" s="186">
        <f>SUMIFS('Plan prihoda za unos u SAP'!$G$3:$G$501,'Plan prihoda za unos u SAP'!$C$3:$C$501,"=41",'Plan prihoda za unos u SAP'!$K$3:$K$501,"=833")</f>
        <v>0</v>
      </c>
      <c r="I37" s="186">
        <f>SUMIFS('Plan prihoda za unos u SAP'!$G$3:$G$501,'Plan prihoda za unos u SAP'!$C$3:$C$501,"=43",'Plan prihoda za unos u SAP'!$K$3:$K$501,"=833")</f>
        <v>0</v>
      </c>
      <c r="J37" s="186">
        <f>SUMIFS('Plan prihoda za unos u SAP'!$G$3:$G$501,'Plan prihoda za unos u SAP'!$C$3:$C$501,"=51",'Plan prihoda za unos u SAP'!$K$3:$K$501,"=833")</f>
        <v>0</v>
      </c>
      <c r="K37" s="186">
        <f>SUMIFS('Plan prihoda za unos u SAP'!$G$3:$G$501,'Plan prihoda za unos u SAP'!$C$3:$C$501,"=52",'Plan prihoda za unos u SAP'!$K$3:$K$501,"=833")</f>
        <v>0</v>
      </c>
      <c r="L37" s="186">
        <f>SUMIFS('Plan prihoda za unos u SAP'!$G$3:$G$501,'Plan prihoda za unos u SAP'!$C$3:$C$501,"=552",'Plan prihoda za unos u SAP'!$K$3:$K$501,"=833")</f>
        <v>0</v>
      </c>
      <c r="M37" s="186">
        <f>SUMIFS('Plan prihoda za unos u SAP'!$G$3:$G$501,'Plan prihoda za unos u SAP'!$C$3:$C$501,"=559",'Plan prihoda za unos u SAP'!$K$3:$K$501,"=833")</f>
        <v>0</v>
      </c>
      <c r="N37" s="186">
        <f>SUMIFS('Plan prihoda za unos u SAP'!$G$3:$G$501,'Plan prihoda za unos u SAP'!$C$3:$C$501,"=561",'Plan prihoda za unos u SAP'!$K$3:$K$501,"=833")</f>
        <v>0</v>
      </c>
      <c r="O37" s="186">
        <f>SUMIFS('Plan prihoda za unos u SAP'!$G$3:$G$501,'Plan prihoda za unos u SAP'!$C$3:$C$501,"=563",'Plan prihoda za unos u SAP'!$K$3:$K$501,"=833")</f>
        <v>0</v>
      </c>
      <c r="P37" s="186">
        <f>SUMIFS('Plan prihoda za unos u SAP'!$G$3:$G$501,'Plan prihoda za unos u SAP'!$C$3:$C$501,"=573",'Plan prihoda za unos u SAP'!$K$3:$K$501,"=833")</f>
        <v>0</v>
      </c>
      <c r="Q37" s="186">
        <f>SUMIFS('Plan prihoda za unos u SAP'!$G$3:$G$501,'Plan prihoda za unos u SAP'!$C$3:$C$501,"=575",'Plan prihoda za unos u SAP'!$K$3:$K$501,"=833")</f>
        <v>0</v>
      </c>
      <c r="R37" s="186">
        <f>SUMIFS('Plan prihoda za unos u SAP'!$G$3:$G$501,'Plan prihoda za unos u SAP'!$C$3:$C$501,"=576",'Plan prihoda za unos u SAP'!$K$3:$K$501,"=833")</f>
        <v>0</v>
      </c>
      <c r="S37" s="186">
        <f>SUMIFS('Plan prihoda za unos u SAP'!$G$3:$G$501,'Plan prihoda za unos u SAP'!$C$3:$C$501,"=581",'Plan prihoda za unos u SAP'!$K$3:$K$501,"=833")</f>
        <v>0</v>
      </c>
      <c r="T37" s="186">
        <f>SUMIFS('Plan prihoda za unos u SAP'!$G$3:$G$501,'Plan prihoda za unos u SAP'!$C$3:$C$501,"=61",'Plan prihoda za unos u SAP'!$K$3:$K$501,"=833")</f>
        <v>0</v>
      </c>
      <c r="U37" s="186">
        <f>SUMIFS('Plan prihoda za unos u SAP'!$G$3:$G$501,'Plan prihoda za unos u SAP'!$C$3:$C$501,"=63",'Plan prihoda za unos u SAP'!$K$3:$K$501,"=833")</f>
        <v>0</v>
      </c>
      <c r="V37" s="186">
        <f>SUMIFS('Plan prihoda za unos u SAP'!$G$3:$G$501,'Plan prihoda za unos u SAP'!$C$3:$C$501,"=71",'Plan prihoda za unos u SAP'!$K$3:$K$501,"=833")</f>
        <v>0</v>
      </c>
      <c r="W37" s="186">
        <f>SUMIFS('Plan prihoda za unos u SAP'!$G$3:$G$501,'Plan prihoda za unos u SAP'!$C$3:$C$501,"=81",'Plan prihoda za unos u SAP'!$K$3:$K$501,"=833")</f>
        <v>0</v>
      </c>
    </row>
    <row r="38" spans="1:29" s="90" customFormat="1" ht="25.5">
      <c r="A38" s="90">
        <v>2021</v>
      </c>
      <c r="B38" s="101">
        <v>841</v>
      </c>
      <c r="C38" s="102" t="s">
        <v>1383</v>
      </c>
      <c r="D38" s="70">
        <f t="shared" si="0"/>
        <v>0</v>
      </c>
      <c r="E38" s="186">
        <f>SUMIFS('Plan prihoda za unos u SAP'!$G$3:$G$501,'Plan prihoda za unos u SAP'!$C$3:$C$501,"=11",'Plan prihoda za unos u SAP'!$K$3:$K$501,"=841")</f>
        <v>0</v>
      </c>
      <c r="F38" s="186">
        <f>SUMIFS('Plan prihoda za unos u SAP'!$G$3:$G$501,'Plan prihoda za unos u SAP'!$C$3:$C$501,"=12",'Plan prihoda za unos u SAP'!$K$3:$K$501,"=841")</f>
        <v>0</v>
      </c>
      <c r="G38" s="186">
        <f>SUMIFS('Plan prihoda za unos u SAP'!$G$3:$G$501,'Plan prihoda za unos u SAP'!$C$3:$C$501,"=31",'Plan prihoda za unos u SAP'!$K$3:$K$501,"=841")</f>
        <v>0</v>
      </c>
      <c r="H38" s="186">
        <f>SUMIFS('Plan prihoda za unos u SAP'!$G$3:$G$501,'Plan prihoda za unos u SAP'!$C$3:$C$501,"=41",'Plan prihoda za unos u SAP'!$K$3:$K$501,"=841")</f>
        <v>0</v>
      </c>
      <c r="I38" s="186">
        <f>SUMIFS('Plan prihoda za unos u SAP'!$G$3:$G$501,'Plan prihoda za unos u SAP'!$C$3:$C$501,"=43",'Plan prihoda za unos u SAP'!$K$3:$K$501,"=841")</f>
        <v>0</v>
      </c>
      <c r="J38" s="186">
        <f>SUMIFS('Plan prihoda za unos u SAP'!$G$3:$G$501,'Plan prihoda za unos u SAP'!$C$3:$C$501,"=51",'Plan prihoda za unos u SAP'!$K$3:$K$501,"=841")</f>
        <v>0</v>
      </c>
      <c r="K38" s="186">
        <f>SUMIFS('Plan prihoda za unos u SAP'!$G$3:$G$501,'Plan prihoda za unos u SAP'!$C$3:$C$501,"=52",'Plan prihoda za unos u SAP'!$K$3:$K$501,"=841")</f>
        <v>0</v>
      </c>
      <c r="L38" s="186">
        <f>SUMIFS('Plan prihoda za unos u SAP'!$G$3:$G$501,'Plan prihoda za unos u SAP'!$C$3:$C$501,"=552",'Plan prihoda za unos u SAP'!$K$3:$K$501,"=841")</f>
        <v>0</v>
      </c>
      <c r="M38" s="186">
        <f>SUMIFS('Plan prihoda za unos u SAP'!$G$3:$G$501,'Plan prihoda za unos u SAP'!$C$3:$C$501,"=559",'Plan prihoda za unos u SAP'!$K$3:$K$501,"=841")</f>
        <v>0</v>
      </c>
      <c r="N38" s="186">
        <f>SUMIFS('Plan prihoda za unos u SAP'!$G$3:$G$501,'Plan prihoda za unos u SAP'!$C$3:$C$501,"=561",'Plan prihoda za unos u SAP'!$K$3:$K$501,"=841")</f>
        <v>0</v>
      </c>
      <c r="O38" s="186">
        <f>SUMIFS('Plan prihoda za unos u SAP'!$G$3:$G$501,'Plan prihoda za unos u SAP'!$C$3:$C$501,"=563",'Plan prihoda za unos u SAP'!$K$3:$K$501,"=841")</f>
        <v>0</v>
      </c>
      <c r="P38" s="186">
        <f>SUMIFS('Plan prihoda za unos u SAP'!$G$3:$G$501,'Plan prihoda za unos u SAP'!$C$3:$C$501,"=573",'Plan prihoda za unos u SAP'!$K$3:$K$501,"=841")</f>
        <v>0</v>
      </c>
      <c r="Q38" s="186">
        <f>SUMIFS('Plan prihoda za unos u SAP'!$G$3:$G$501,'Plan prihoda za unos u SAP'!$C$3:$C$501,"=575",'Plan prihoda za unos u SAP'!$K$3:$K$501,"=841")</f>
        <v>0</v>
      </c>
      <c r="R38" s="186">
        <f>SUMIFS('Plan prihoda za unos u SAP'!$G$3:$G$501,'Plan prihoda za unos u SAP'!$C$3:$C$501,"=576",'Plan prihoda za unos u SAP'!$K$3:$K$501,"=841")</f>
        <v>0</v>
      </c>
      <c r="S38" s="186">
        <f>SUMIFS('Plan prihoda za unos u SAP'!$G$3:$G$501,'Plan prihoda za unos u SAP'!$C$3:$C$501,"=581",'Plan prihoda za unos u SAP'!$K$3:$K$501,"=841")</f>
        <v>0</v>
      </c>
      <c r="T38" s="186">
        <f>SUMIFS('Plan prihoda za unos u SAP'!$G$3:$G$501,'Plan prihoda za unos u SAP'!$C$3:$C$501,"=61",'Plan prihoda za unos u SAP'!$K$3:$K$501,"=841")</f>
        <v>0</v>
      </c>
      <c r="U38" s="186">
        <f>SUMIFS('Plan prihoda za unos u SAP'!$G$3:$G$501,'Plan prihoda za unos u SAP'!$C$3:$C$501,"=63",'Plan prihoda za unos u SAP'!$K$3:$K$501,"=841")</f>
        <v>0</v>
      </c>
      <c r="V38" s="186">
        <f>SUMIFS('Plan prihoda za unos u SAP'!$G$3:$G$501,'Plan prihoda za unos u SAP'!$C$3:$C$501,"=71",'Plan prihoda za unos u SAP'!$K$3:$K$501,"=841")</f>
        <v>0</v>
      </c>
      <c r="W38" s="186">
        <f>SUMIFS('Plan prihoda za unos u SAP'!$G$3:$G$501,'Plan prihoda za unos u SAP'!$C$3:$C$501,"=81",'Plan prihoda za unos u SAP'!$K$3:$K$501,"=841")</f>
        <v>0</v>
      </c>
    </row>
    <row r="39" spans="1:29" s="90" customFormat="1" ht="25.5">
      <c r="A39" s="90">
        <v>2021</v>
      </c>
      <c r="B39" s="101">
        <v>842</v>
      </c>
      <c r="C39" s="102" t="s">
        <v>317</v>
      </c>
      <c r="D39" s="70">
        <f t="shared" si="0"/>
        <v>0</v>
      </c>
      <c r="E39" s="186">
        <f>SUMIFS('Plan prihoda za unos u SAP'!$G$3:$G$501,'Plan prihoda za unos u SAP'!$C$3:$C$501,"=11",'Plan prihoda za unos u SAP'!$K$3:$K$501,"=842")</f>
        <v>0</v>
      </c>
      <c r="F39" s="186">
        <f>SUMIFS('Plan prihoda za unos u SAP'!$G$3:$G$501,'Plan prihoda za unos u SAP'!$C$3:$C$501,"=12",'Plan prihoda za unos u SAP'!$K$3:$K$501,"=842")</f>
        <v>0</v>
      </c>
      <c r="G39" s="186">
        <f>SUMIFS('Plan prihoda za unos u SAP'!$G$3:$G$501,'Plan prihoda za unos u SAP'!$C$3:$C$501,"=31",'Plan prihoda za unos u SAP'!$K$3:$K$501,"=842")</f>
        <v>0</v>
      </c>
      <c r="H39" s="186">
        <f>SUMIFS('Plan prihoda za unos u SAP'!$G$3:$G$501,'Plan prihoda za unos u SAP'!$C$3:$C$501,"=41",'Plan prihoda za unos u SAP'!$K$3:$K$501,"=842")</f>
        <v>0</v>
      </c>
      <c r="I39" s="186">
        <f>SUMIFS('Plan prihoda za unos u SAP'!$G$3:$G$501,'Plan prihoda za unos u SAP'!$C$3:$C$501,"=43",'Plan prihoda za unos u SAP'!$K$3:$K$501,"=842")</f>
        <v>0</v>
      </c>
      <c r="J39" s="186">
        <f>SUMIFS('Plan prihoda za unos u SAP'!$G$3:$G$501,'Plan prihoda za unos u SAP'!$C$3:$C$501,"=51",'Plan prihoda za unos u SAP'!$K$3:$K$501,"=842")</f>
        <v>0</v>
      </c>
      <c r="K39" s="186">
        <f>SUMIFS('Plan prihoda za unos u SAP'!$G$3:$G$501,'Plan prihoda za unos u SAP'!$C$3:$C$501,"=52",'Plan prihoda za unos u SAP'!$K$3:$K$501,"=842")</f>
        <v>0</v>
      </c>
      <c r="L39" s="186">
        <f>SUMIFS('Plan prihoda za unos u SAP'!$G$3:$G$501,'Plan prihoda za unos u SAP'!$C$3:$C$501,"=552",'Plan prihoda za unos u SAP'!$K$3:$K$501,"=842")</f>
        <v>0</v>
      </c>
      <c r="M39" s="186">
        <f>SUMIFS('Plan prihoda za unos u SAP'!$G$3:$G$501,'Plan prihoda za unos u SAP'!$C$3:$C$501,"=559",'Plan prihoda za unos u SAP'!$K$3:$K$501,"=842")</f>
        <v>0</v>
      </c>
      <c r="N39" s="186">
        <f>SUMIFS('Plan prihoda za unos u SAP'!$G$3:$G$501,'Plan prihoda za unos u SAP'!$C$3:$C$501,"=561",'Plan prihoda za unos u SAP'!$K$3:$K$501,"=842")</f>
        <v>0</v>
      </c>
      <c r="O39" s="186">
        <f>SUMIFS('Plan prihoda za unos u SAP'!$G$3:$G$501,'Plan prihoda za unos u SAP'!$C$3:$C$501,"=563",'Plan prihoda za unos u SAP'!$K$3:$K$501,"=842")</f>
        <v>0</v>
      </c>
      <c r="P39" s="186">
        <f>SUMIFS('Plan prihoda za unos u SAP'!$G$3:$G$501,'Plan prihoda za unos u SAP'!$C$3:$C$501,"=573",'Plan prihoda za unos u SAP'!$K$3:$K$501,"=842")</f>
        <v>0</v>
      </c>
      <c r="Q39" s="186">
        <f>SUMIFS('Plan prihoda za unos u SAP'!$G$3:$G$501,'Plan prihoda za unos u SAP'!$C$3:$C$501,"=575",'Plan prihoda za unos u SAP'!$K$3:$K$501,"=842")</f>
        <v>0</v>
      </c>
      <c r="R39" s="186">
        <f>SUMIFS('Plan prihoda za unos u SAP'!$G$3:$G$501,'Plan prihoda za unos u SAP'!$C$3:$C$501,"=576",'Plan prihoda za unos u SAP'!$K$3:$K$501,"=842")</f>
        <v>0</v>
      </c>
      <c r="S39" s="186">
        <f>SUMIFS('Plan prihoda za unos u SAP'!$G$3:$G$501,'Plan prihoda za unos u SAP'!$C$3:$C$501,"=581",'Plan prihoda za unos u SAP'!$K$3:$K$501,"=842")</f>
        <v>0</v>
      </c>
      <c r="T39" s="186">
        <f>SUMIFS('Plan prihoda za unos u SAP'!$G$3:$G$501,'Plan prihoda za unos u SAP'!$C$3:$C$501,"=61",'Plan prihoda za unos u SAP'!$K$3:$K$501,"=842")</f>
        <v>0</v>
      </c>
      <c r="U39" s="186">
        <f>SUMIFS('Plan prihoda za unos u SAP'!$G$3:$G$501,'Plan prihoda za unos u SAP'!$C$3:$C$501,"=63",'Plan prihoda za unos u SAP'!$K$3:$K$501,"=842")</f>
        <v>0</v>
      </c>
      <c r="V39" s="186">
        <f>SUMIFS('Plan prihoda za unos u SAP'!$G$3:$G$501,'Plan prihoda za unos u SAP'!$C$3:$C$501,"=71",'Plan prihoda za unos u SAP'!$K$3:$K$501,"=842")</f>
        <v>0</v>
      </c>
      <c r="W39" s="186">
        <f>SUMIFS('Plan prihoda za unos u SAP'!$G$3:$G$501,'Plan prihoda za unos u SAP'!$C$3:$C$501,"=81",'Plan prihoda za unos u SAP'!$K$3:$K$501,"=842")</f>
        <v>0</v>
      </c>
    </row>
    <row r="40" spans="1:29" s="90" customFormat="1">
      <c r="A40" s="90">
        <v>2021</v>
      </c>
      <c r="B40" s="98" t="s">
        <v>308</v>
      </c>
      <c r="C40" s="99" t="s">
        <v>300</v>
      </c>
      <c r="D40" s="70">
        <f t="shared" si="0"/>
        <v>0</v>
      </c>
      <c r="E40" s="4">
        <f>SUM(E35:E39)</f>
        <v>0</v>
      </c>
      <c r="F40" s="4">
        <f>SUM(F35:F39)</f>
        <v>0</v>
      </c>
      <c r="G40" s="4">
        <f t="shared" ref="G40:W40" si="10">SUM(G35:G39)</f>
        <v>0</v>
      </c>
      <c r="H40" s="4">
        <f t="shared" si="10"/>
        <v>0</v>
      </c>
      <c r="I40" s="4">
        <f t="shared" si="10"/>
        <v>0</v>
      </c>
      <c r="J40" s="4">
        <f t="shared" si="10"/>
        <v>0</v>
      </c>
      <c r="K40" s="4">
        <f t="shared" si="10"/>
        <v>0</v>
      </c>
      <c r="L40" s="4">
        <f t="shared" si="10"/>
        <v>0</v>
      </c>
      <c r="M40" s="4">
        <f t="shared" si="10"/>
        <v>0</v>
      </c>
      <c r="N40" s="4">
        <f t="shared" si="10"/>
        <v>0</v>
      </c>
      <c r="O40" s="4">
        <f t="shared" si="10"/>
        <v>0</v>
      </c>
      <c r="P40" s="4">
        <f t="shared" si="10"/>
        <v>0</v>
      </c>
      <c r="Q40" s="4">
        <f t="shared" si="10"/>
        <v>0</v>
      </c>
      <c r="R40" s="4">
        <f t="shared" si="10"/>
        <v>0</v>
      </c>
      <c r="S40" s="4">
        <f>SUM(S35:S39)</f>
        <v>0</v>
      </c>
      <c r="T40" s="4">
        <f t="shared" si="10"/>
        <v>0</v>
      </c>
      <c r="U40" s="4">
        <f t="shared" si="10"/>
        <v>0</v>
      </c>
      <c r="V40" s="4">
        <f t="shared" si="10"/>
        <v>0</v>
      </c>
      <c r="W40" s="4">
        <f t="shared" si="10"/>
        <v>0</v>
      </c>
    </row>
    <row r="41" spans="1:29" s="90" customFormat="1" ht="12.75" customHeight="1">
      <c r="A41" s="90">
        <v>2021</v>
      </c>
      <c r="B41" s="255" t="s">
        <v>309</v>
      </c>
      <c r="C41" s="255"/>
      <c r="D41" s="70">
        <f t="shared" si="0"/>
        <v>32760623</v>
      </c>
      <c r="E41" s="71">
        <f>+E40+E34+E27</f>
        <v>19705590</v>
      </c>
      <c r="F41" s="71">
        <f>+F40+F34+F27</f>
        <v>0</v>
      </c>
      <c r="G41" s="71">
        <f t="shared" ref="G41:W41" si="11">+G40+G34+G27</f>
        <v>688000</v>
      </c>
      <c r="H41" s="71">
        <f t="shared" si="11"/>
        <v>0</v>
      </c>
      <c r="I41" s="71">
        <f t="shared" si="11"/>
        <v>12035000</v>
      </c>
      <c r="J41" s="71">
        <f t="shared" si="11"/>
        <v>0</v>
      </c>
      <c r="K41" s="71">
        <f t="shared" si="11"/>
        <v>125000</v>
      </c>
      <c r="L41" s="71">
        <f t="shared" si="11"/>
        <v>0</v>
      </c>
      <c r="M41" s="71">
        <f t="shared" si="11"/>
        <v>0</v>
      </c>
      <c r="N41" s="71">
        <f t="shared" si="11"/>
        <v>0</v>
      </c>
      <c r="O41" s="71">
        <f t="shared" si="11"/>
        <v>0</v>
      </c>
      <c r="P41" s="71">
        <f t="shared" si="11"/>
        <v>0</v>
      </c>
      <c r="Q41" s="71">
        <f t="shared" si="11"/>
        <v>0</v>
      </c>
      <c r="R41" s="71">
        <f t="shared" si="11"/>
        <v>0</v>
      </c>
      <c r="S41" s="71">
        <f>+S40+S34+S27</f>
        <v>0</v>
      </c>
      <c r="T41" s="71">
        <f t="shared" si="11"/>
        <v>205033</v>
      </c>
      <c r="U41" s="71">
        <f t="shared" si="11"/>
        <v>0</v>
      </c>
      <c r="V41" s="71">
        <f t="shared" si="11"/>
        <v>2000</v>
      </c>
      <c r="W41" s="71">
        <f t="shared" si="11"/>
        <v>0</v>
      </c>
    </row>
    <row r="42" spans="1:29">
      <c r="B42" s="62"/>
      <c r="C42" s="62"/>
      <c r="D42" s="62"/>
      <c r="E42" s="62"/>
      <c r="F42" s="62"/>
      <c r="G42" s="62"/>
      <c r="H42" s="62"/>
      <c r="I42" s="103"/>
      <c r="J42" s="104"/>
      <c r="K42" s="104"/>
      <c r="L42" s="104"/>
      <c r="M42" s="104"/>
      <c r="N42" s="104"/>
      <c r="O42" s="104"/>
      <c r="P42" s="104"/>
      <c r="Q42" s="104"/>
      <c r="R42" s="104"/>
      <c r="S42" s="91"/>
      <c r="W42" s="91"/>
    </row>
    <row r="43" spans="1:29" s="90" customFormat="1" ht="15.75">
      <c r="B43" s="278" t="s">
        <v>263</v>
      </c>
      <c r="C43" s="279"/>
      <c r="D43" s="280" t="s">
        <v>1915</v>
      </c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2"/>
      <c r="V43" s="207"/>
    </row>
    <row r="44" spans="1:29" s="90" customFormat="1" ht="89.25">
      <c r="A44" s="92" t="s">
        <v>1913</v>
      </c>
      <c r="B44" s="92" t="s">
        <v>264</v>
      </c>
      <c r="C44" s="92" t="s">
        <v>265</v>
      </c>
      <c r="D44" s="255" t="s">
        <v>266</v>
      </c>
      <c r="E44" s="208" t="s">
        <v>346</v>
      </c>
      <c r="F44" s="208" t="s">
        <v>318</v>
      </c>
      <c r="G44" s="209" t="s">
        <v>19</v>
      </c>
      <c r="H44" s="209" t="s">
        <v>1374</v>
      </c>
      <c r="I44" s="209" t="s">
        <v>20</v>
      </c>
      <c r="J44" s="209" t="s">
        <v>267</v>
      </c>
      <c r="K44" s="209" t="s">
        <v>268</v>
      </c>
      <c r="L44" s="209" t="s">
        <v>1375</v>
      </c>
      <c r="M44" s="209" t="s">
        <v>269</v>
      </c>
      <c r="N44" s="209" t="s">
        <v>270</v>
      </c>
      <c r="O44" s="209" t="s">
        <v>271</v>
      </c>
      <c r="P44" s="209" t="s">
        <v>1376</v>
      </c>
      <c r="Q44" s="209" t="s">
        <v>1377</v>
      </c>
      <c r="R44" s="209" t="s">
        <v>1909</v>
      </c>
      <c r="S44" s="93" t="s">
        <v>3493</v>
      </c>
      <c r="T44" s="209" t="s">
        <v>272</v>
      </c>
      <c r="U44" s="93" t="s">
        <v>273</v>
      </c>
      <c r="V44" s="93" t="s">
        <v>310</v>
      </c>
      <c r="W44" s="93" t="s">
        <v>1350</v>
      </c>
    </row>
    <row r="45" spans="1:29" s="90" customFormat="1">
      <c r="A45" s="90">
        <v>2022</v>
      </c>
      <c r="B45" s="95"/>
      <c r="C45" s="96" t="s">
        <v>11</v>
      </c>
      <c r="D45" s="70">
        <f t="shared" ref="D45:D81" si="12">SUM(E45:W45)</f>
        <v>12199097</v>
      </c>
      <c r="E45" s="185">
        <f>-E7</f>
        <v>0</v>
      </c>
      <c r="F45" s="185">
        <f>-F7</f>
        <v>0</v>
      </c>
      <c r="G45" s="185">
        <f t="shared" ref="G45:W45" si="13">-G7</f>
        <v>241000</v>
      </c>
      <c r="H45" s="185">
        <f t="shared" si="13"/>
        <v>0</v>
      </c>
      <c r="I45" s="185">
        <f t="shared" si="13"/>
        <v>11813097</v>
      </c>
      <c r="J45" s="185">
        <f t="shared" si="13"/>
        <v>40000</v>
      </c>
      <c r="K45" s="185">
        <f t="shared" si="13"/>
        <v>51000</v>
      </c>
      <c r="L45" s="185">
        <f t="shared" si="13"/>
        <v>0</v>
      </c>
      <c r="M45" s="185">
        <f t="shared" si="13"/>
        <v>0</v>
      </c>
      <c r="N45" s="185">
        <f t="shared" si="13"/>
        <v>0</v>
      </c>
      <c r="O45" s="185">
        <f t="shared" si="13"/>
        <v>0</v>
      </c>
      <c r="P45" s="185">
        <f t="shared" si="13"/>
        <v>0</v>
      </c>
      <c r="Q45" s="185">
        <f t="shared" si="13"/>
        <v>0</v>
      </c>
      <c r="R45" s="185">
        <f t="shared" si="13"/>
        <v>0</v>
      </c>
      <c r="S45" s="185">
        <f>-S7</f>
        <v>0</v>
      </c>
      <c r="T45" s="185">
        <f t="shared" si="13"/>
        <v>0</v>
      </c>
      <c r="U45" s="185">
        <f t="shared" si="13"/>
        <v>0</v>
      </c>
      <c r="V45" s="185">
        <f t="shared" si="13"/>
        <v>54000</v>
      </c>
      <c r="W45" s="185">
        <f t="shared" si="13"/>
        <v>0</v>
      </c>
      <c r="X45" s="94"/>
      <c r="Y45" s="94"/>
      <c r="Z45" s="94"/>
      <c r="AA45" s="94"/>
      <c r="AB45" s="94"/>
      <c r="AC45" s="94"/>
    </row>
    <row r="46" spans="1:29" s="90" customFormat="1">
      <c r="A46" s="90">
        <v>2022</v>
      </c>
      <c r="B46" s="114"/>
      <c r="C46" s="115" t="s">
        <v>342</v>
      </c>
      <c r="D46" s="70">
        <f t="shared" si="12"/>
        <v>35191635</v>
      </c>
      <c r="E46" s="14">
        <f t="shared" ref="E46:W46" si="14">+E67+E74</f>
        <v>19803159</v>
      </c>
      <c r="F46" s="14">
        <f t="shared" si="14"/>
        <v>0</v>
      </c>
      <c r="G46" s="14">
        <f t="shared" si="14"/>
        <v>719000</v>
      </c>
      <c r="H46" s="14">
        <f>+H67+H74</f>
        <v>0</v>
      </c>
      <c r="I46" s="14">
        <f t="shared" si="14"/>
        <v>13843500</v>
      </c>
      <c r="J46" s="14">
        <f t="shared" si="14"/>
        <v>65000</v>
      </c>
      <c r="K46" s="14">
        <f t="shared" si="14"/>
        <v>578476</v>
      </c>
      <c r="L46" s="14">
        <f>+L67+L74</f>
        <v>0</v>
      </c>
      <c r="M46" s="14">
        <f t="shared" si="14"/>
        <v>0</v>
      </c>
      <c r="N46" s="14">
        <f t="shared" si="14"/>
        <v>0</v>
      </c>
      <c r="O46" s="14">
        <f t="shared" si="14"/>
        <v>0</v>
      </c>
      <c r="P46" s="14">
        <f>+P67+P74</f>
        <v>0</v>
      </c>
      <c r="Q46" s="14">
        <f>+Q67+Q74</f>
        <v>0</v>
      </c>
      <c r="R46" s="14">
        <f>+R67+R74</f>
        <v>0</v>
      </c>
      <c r="S46" s="14">
        <f>+S67+S74</f>
        <v>0</v>
      </c>
      <c r="T46" s="14">
        <f t="shared" si="14"/>
        <v>180500</v>
      </c>
      <c r="U46" s="14">
        <f t="shared" si="14"/>
        <v>0</v>
      </c>
      <c r="V46" s="14">
        <f t="shared" si="14"/>
        <v>2000</v>
      </c>
      <c r="W46" s="14">
        <f t="shared" si="14"/>
        <v>0</v>
      </c>
    </row>
    <row r="47" spans="1:29" s="90" customFormat="1">
      <c r="A47" s="90">
        <v>2022</v>
      </c>
      <c r="B47" s="95"/>
      <c r="C47" s="96" t="s">
        <v>345</v>
      </c>
      <c r="D47" s="70">
        <f t="shared" si="12"/>
        <v>-11908103</v>
      </c>
      <c r="E47" s="113"/>
      <c r="F47" s="113"/>
      <c r="G47" s="113">
        <v>-206000</v>
      </c>
      <c r="H47" s="113"/>
      <c r="I47" s="113">
        <v>-11646103</v>
      </c>
      <c r="J47" s="113"/>
      <c r="K47" s="113"/>
      <c r="L47" s="113"/>
      <c r="M47" s="3"/>
      <c r="N47" s="113"/>
      <c r="O47" s="113"/>
      <c r="P47" s="113"/>
      <c r="Q47" s="113"/>
      <c r="R47" s="113"/>
      <c r="S47" s="113"/>
      <c r="T47" s="113"/>
      <c r="U47" s="113"/>
      <c r="V47" s="113">
        <v>-56000</v>
      </c>
      <c r="W47" s="113"/>
      <c r="X47" s="94"/>
      <c r="Y47" s="94"/>
      <c r="Z47" s="94"/>
      <c r="AA47" s="94"/>
      <c r="AB47" s="94"/>
      <c r="AC47" s="94"/>
    </row>
    <row r="48" spans="1:29" s="90" customFormat="1">
      <c r="A48" s="90">
        <v>2022</v>
      </c>
      <c r="B48" s="114"/>
      <c r="C48" s="115" t="s">
        <v>274</v>
      </c>
      <c r="D48" s="70">
        <f t="shared" si="12"/>
        <v>35482629</v>
      </c>
      <c r="E48" s="14">
        <f>+E45+E46+E47</f>
        <v>19803159</v>
      </c>
      <c r="F48" s="14">
        <f t="shared" ref="F48:W48" si="15">+F45+F46+F47</f>
        <v>0</v>
      </c>
      <c r="G48" s="14">
        <f t="shared" si="15"/>
        <v>754000</v>
      </c>
      <c r="H48" s="14">
        <f>+H45+H46+H47</f>
        <v>0</v>
      </c>
      <c r="I48" s="14">
        <f t="shared" si="15"/>
        <v>14010494</v>
      </c>
      <c r="J48" s="14">
        <f t="shared" si="15"/>
        <v>105000</v>
      </c>
      <c r="K48" s="14">
        <f t="shared" si="15"/>
        <v>629476</v>
      </c>
      <c r="L48" s="14">
        <f>+L45+L46+L47</f>
        <v>0</v>
      </c>
      <c r="M48" s="14">
        <f t="shared" si="15"/>
        <v>0</v>
      </c>
      <c r="N48" s="14">
        <f t="shared" si="15"/>
        <v>0</v>
      </c>
      <c r="O48" s="14">
        <f t="shared" si="15"/>
        <v>0</v>
      </c>
      <c r="P48" s="14">
        <f>+P45+P46+P47</f>
        <v>0</v>
      </c>
      <c r="Q48" s="14">
        <f>+Q45+Q46+Q47</f>
        <v>0</v>
      </c>
      <c r="R48" s="14">
        <f>+R45+R46+R47</f>
        <v>0</v>
      </c>
      <c r="S48" s="14">
        <f>+S45+S46+S47</f>
        <v>0</v>
      </c>
      <c r="T48" s="14">
        <f t="shared" si="15"/>
        <v>180500</v>
      </c>
      <c r="U48" s="14">
        <f t="shared" si="15"/>
        <v>0</v>
      </c>
      <c r="V48" s="14">
        <f t="shared" si="15"/>
        <v>0</v>
      </c>
      <c r="W48" s="14">
        <f t="shared" si="15"/>
        <v>0</v>
      </c>
    </row>
    <row r="49" spans="1:29" s="90" customFormat="1">
      <c r="A49" s="90">
        <v>2022</v>
      </c>
      <c r="B49" s="111"/>
      <c r="C49" s="112" t="s">
        <v>229</v>
      </c>
      <c r="D49" s="70">
        <f t="shared" si="12"/>
        <v>35482629</v>
      </c>
      <c r="E49" s="134">
        <f>+'PLAN RASHODA I IZDATAKA'!E71</f>
        <v>19803159</v>
      </c>
      <c r="F49" s="134">
        <f>+'PLAN RASHODA I IZDATAKA'!F71</f>
        <v>0</v>
      </c>
      <c r="G49" s="134">
        <f>+'PLAN RASHODA I IZDATAKA'!G71</f>
        <v>754000</v>
      </c>
      <c r="H49" s="134">
        <f>+'PLAN RASHODA I IZDATAKA'!H71</f>
        <v>0</v>
      </c>
      <c r="I49" s="134">
        <f>+'PLAN RASHODA I IZDATAKA'!I71</f>
        <v>14010494</v>
      </c>
      <c r="J49" s="134">
        <f>+'PLAN RASHODA I IZDATAKA'!J71</f>
        <v>105000</v>
      </c>
      <c r="K49" s="134">
        <f>+'PLAN RASHODA I IZDATAKA'!K71</f>
        <v>629476</v>
      </c>
      <c r="L49" s="134">
        <f>+'PLAN RASHODA I IZDATAKA'!L71</f>
        <v>0</v>
      </c>
      <c r="M49" s="134">
        <f>+'PLAN RASHODA I IZDATAKA'!M71</f>
        <v>0</v>
      </c>
      <c r="N49" s="134">
        <f>+'PLAN RASHODA I IZDATAKA'!N71</f>
        <v>0</v>
      </c>
      <c r="O49" s="134">
        <f>+'PLAN RASHODA I IZDATAKA'!O71</f>
        <v>0</v>
      </c>
      <c r="P49" s="134">
        <f>+'PLAN RASHODA I IZDATAKA'!P71</f>
        <v>0</v>
      </c>
      <c r="Q49" s="134">
        <f>+'PLAN RASHODA I IZDATAKA'!Q71</f>
        <v>0</v>
      </c>
      <c r="R49" s="134">
        <f>+'PLAN RASHODA I IZDATAKA'!R71</f>
        <v>0</v>
      </c>
      <c r="S49" s="134">
        <f>+'PLAN RASHODA I IZDATAKA'!S71</f>
        <v>0</v>
      </c>
      <c r="T49" s="134">
        <f>+'PLAN RASHODA I IZDATAKA'!T71</f>
        <v>180500</v>
      </c>
      <c r="U49" s="134">
        <f>+'PLAN RASHODA I IZDATAKA'!U71</f>
        <v>0</v>
      </c>
      <c r="V49" s="134">
        <f>+'PLAN RASHODA I IZDATAKA'!V71</f>
        <v>0</v>
      </c>
      <c r="W49" s="134">
        <f>+'PLAN RASHODA I IZDATAKA'!W71</f>
        <v>0</v>
      </c>
      <c r="X49" s="94"/>
      <c r="Y49" s="94"/>
      <c r="Z49" s="94"/>
      <c r="AA49" s="94"/>
      <c r="AB49" s="94"/>
      <c r="AC49" s="94"/>
    </row>
    <row r="50" spans="1:29" s="90" customFormat="1" ht="13.5" thickBot="1">
      <c r="A50" s="90">
        <v>2022</v>
      </c>
      <c r="B50" s="116"/>
      <c r="C50" s="117" t="s">
        <v>344</v>
      </c>
      <c r="D50" s="69">
        <f t="shared" si="12"/>
        <v>0</v>
      </c>
      <c r="E50" s="118">
        <f>+E48-E49</f>
        <v>0</v>
      </c>
      <c r="F50" s="118">
        <f t="shared" ref="F50:W50" si="16">+F48-F49</f>
        <v>0</v>
      </c>
      <c r="G50" s="118">
        <f t="shared" si="16"/>
        <v>0</v>
      </c>
      <c r="H50" s="118">
        <f>+H48-H49</f>
        <v>0</v>
      </c>
      <c r="I50" s="118">
        <f t="shared" si="16"/>
        <v>0</v>
      </c>
      <c r="J50" s="118">
        <f t="shared" si="16"/>
        <v>0</v>
      </c>
      <c r="K50" s="118">
        <f t="shared" si="16"/>
        <v>0</v>
      </c>
      <c r="L50" s="118">
        <f>+L48-L49</f>
        <v>0</v>
      </c>
      <c r="M50" s="118">
        <f t="shared" si="16"/>
        <v>0</v>
      </c>
      <c r="N50" s="118">
        <f t="shared" si="16"/>
        <v>0</v>
      </c>
      <c r="O50" s="118">
        <f t="shared" si="16"/>
        <v>0</v>
      </c>
      <c r="P50" s="118">
        <f>+P48-P49</f>
        <v>0</v>
      </c>
      <c r="Q50" s="118">
        <f>+Q48-Q49</f>
        <v>0</v>
      </c>
      <c r="R50" s="118">
        <f>+R48-R49</f>
        <v>0</v>
      </c>
      <c r="S50" s="118">
        <f>+S48-S49</f>
        <v>0</v>
      </c>
      <c r="T50" s="118">
        <f t="shared" si="16"/>
        <v>0</v>
      </c>
      <c r="U50" s="118">
        <f t="shared" si="16"/>
        <v>0</v>
      </c>
      <c r="V50" s="118">
        <f t="shared" si="16"/>
        <v>0</v>
      </c>
      <c r="W50" s="118">
        <f t="shared" si="16"/>
        <v>0</v>
      </c>
    </row>
    <row r="51" spans="1:29" s="90" customFormat="1">
      <c r="A51" s="90">
        <v>2022</v>
      </c>
      <c r="B51" s="97" t="s">
        <v>1379</v>
      </c>
      <c r="C51" s="110" t="s">
        <v>1380</v>
      </c>
      <c r="D51" s="70">
        <f t="shared" si="12"/>
        <v>0</v>
      </c>
      <c r="E51" s="186">
        <f>SUMIFS('Plan prihoda za unos u SAP'!$H$3:$H$501,'Plan prihoda za unos u SAP'!$C$3:$C$501,"=11",'Plan prihoda za unos u SAP'!$K$3:$K$501,"=614")</f>
        <v>0</v>
      </c>
      <c r="F51" s="186">
        <f>SUMIFS('Plan prihoda za unos u SAP'!$H$3:$H$501,'Plan prihoda za unos u SAP'!$C$3:$C$501,"=12",'Plan prihoda za unos u SAP'!$K$3:$K$501,"=614")</f>
        <v>0</v>
      </c>
      <c r="G51" s="186">
        <f>SUMIFS('Plan prihoda za unos u SAP'!$H$3:$H$501,'Plan prihoda za unos u SAP'!$C$3:$C$501,"=31",'Plan prihoda za unos u SAP'!$K$3:$K$501,"=614")</f>
        <v>0</v>
      </c>
      <c r="H51" s="186">
        <f>SUMIFS('Plan prihoda za unos u SAP'!$H$3:$H$501,'Plan prihoda za unos u SAP'!$C$3:$C$501,"=41",'Plan prihoda za unos u SAP'!$K$3:$K$501,"=614")</f>
        <v>0</v>
      </c>
      <c r="I51" s="186">
        <f>SUMIFS('Plan prihoda za unos u SAP'!$H$3:$H$501,'Plan prihoda za unos u SAP'!$C$3:$C$501,"=43",'Plan prihoda za unos u SAP'!$K$3:$K$501,"=614")</f>
        <v>0</v>
      </c>
      <c r="J51" s="186">
        <f>SUMIFS('Plan prihoda za unos u SAP'!$H$3:$H$501,'Plan prihoda za unos u SAP'!$C$3:$C$501,"=51",'Plan prihoda za unos u SAP'!$K$3:$K$501,"=614")</f>
        <v>0</v>
      </c>
      <c r="K51" s="186">
        <f>SUMIFS('Plan prihoda za unos u SAP'!$H$3:$H$501,'Plan prihoda za unos u SAP'!$C$3:$C$501,"=52",'Plan prihoda za unos u SAP'!$K$3:$K$501,"=614")</f>
        <v>0</v>
      </c>
      <c r="L51" s="186">
        <f>SUMIFS('Plan prihoda za unos u SAP'!$H$3:$H$501,'Plan prihoda za unos u SAP'!$C$3:$C$501,"=552",'Plan prihoda za unos u SAP'!$K$3:$K$501,"=614")</f>
        <v>0</v>
      </c>
      <c r="M51" s="186">
        <f>SUMIFS('Plan prihoda za unos u SAP'!$H$3:$H$501,'Plan prihoda za unos u SAP'!$C$3:$C$501,"=559",'Plan prihoda za unos u SAP'!$K$3:$K$501,"=614")</f>
        <v>0</v>
      </c>
      <c r="N51" s="186">
        <f>SUMIFS('Plan prihoda za unos u SAP'!$H$3:$H$501,'Plan prihoda za unos u SAP'!$C$3:$C$501,"=561",'Plan prihoda za unos u SAP'!$K$3:$K$501,"=614")</f>
        <v>0</v>
      </c>
      <c r="O51" s="186">
        <f>SUMIFS('Plan prihoda za unos u SAP'!$H$3:$H$501,'Plan prihoda za unos u SAP'!$C$3:$C$501,"=563",'Plan prihoda za unos u SAP'!$K$3:$K$501,"=614")</f>
        <v>0</v>
      </c>
      <c r="P51" s="186">
        <f>SUMIFS('Plan prihoda za unos u SAP'!$H$3:$H$501,'Plan prihoda za unos u SAP'!$C$3:$C$501,"=573",'Plan prihoda za unos u SAP'!$K$3:$K$501,"=614")</f>
        <v>0</v>
      </c>
      <c r="Q51" s="186">
        <f>SUMIFS('Plan prihoda za unos u SAP'!$H$3:$H$501,'Plan prihoda za unos u SAP'!$C$3:$C$501,"=575",'Plan prihoda za unos u SAP'!$K$3:$K$501,"=614")</f>
        <v>0</v>
      </c>
      <c r="R51" s="186">
        <f>SUMIFS('Plan prihoda za unos u SAP'!$H$3:$H$501,'Plan prihoda za unos u SAP'!$C$3:$C$501,"=576",'Plan prihoda za unos u SAP'!$K$3:$K$501,"=614")</f>
        <v>0</v>
      </c>
      <c r="S51" s="186">
        <f>SUMIFS('Plan prihoda za unos u SAP'!$H$3:$H$501,'Plan prihoda za unos u SAP'!$C$3:$C$501,"=581",'Plan prihoda za unos u SAP'!$K$3:$K$501,"=614")</f>
        <v>0</v>
      </c>
      <c r="T51" s="186">
        <f>SUMIFS('Plan prihoda za unos u SAP'!$H$3:$H$501,'Plan prihoda za unos u SAP'!$C$3:$C$501,"=61",'Plan prihoda za unos u SAP'!$K$3:$K$501,"=614")</f>
        <v>0</v>
      </c>
      <c r="U51" s="186">
        <f>SUMIFS('Plan prihoda za unos u SAP'!$H$3:$H$501,'Plan prihoda za unos u SAP'!$C$3:$C$501,"=63",'Plan prihoda za unos u SAP'!$K$3:$K$501,"=614")</f>
        <v>0</v>
      </c>
      <c r="V51" s="186">
        <f>SUMIFS('Plan prihoda za unos u SAP'!$H$3:$H$501,'Plan prihoda za unos u SAP'!$C$3:$C$501,"=71",'Plan prihoda za unos u SAP'!$K$3:$K$501,"=614")</f>
        <v>0</v>
      </c>
      <c r="W51" s="186">
        <f>SUMIFS('Plan prihoda za unos u SAP'!$H$3:$H$501,'Plan prihoda za unos u SAP'!$C$3:$C$501,"=81",'Plan prihoda za unos u SAP'!$K$3:$K$501,"=614")</f>
        <v>0</v>
      </c>
    </row>
    <row r="52" spans="1:29" s="90" customFormat="1">
      <c r="A52" s="90">
        <v>2022</v>
      </c>
      <c r="B52" s="97" t="s">
        <v>275</v>
      </c>
      <c r="C52" s="96" t="s">
        <v>276</v>
      </c>
      <c r="D52" s="70">
        <f t="shared" si="12"/>
        <v>0</v>
      </c>
      <c r="E52" s="186">
        <f>SUMIFS('Plan prihoda za unos u SAP'!$H$3:$H$501,'Plan prihoda za unos u SAP'!$C$3:$C$501,"=11",'Plan prihoda za unos u SAP'!$K$3:$K$501,"=631")</f>
        <v>0</v>
      </c>
      <c r="F52" s="186">
        <f>SUMIFS('Plan prihoda za unos u SAP'!$H$3:$H$501,'Plan prihoda za unos u SAP'!$C$3:$C$501,"=12",'Plan prihoda za unos u SAP'!$K$3:$K$501,"=631")</f>
        <v>0</v>
      </c>
      <c r="G52" s="186">
        <f>SUMIFS('Plan prihoda za unos u SAP'!$H$3:$H$501,'Plan prihoda za unos u SAP'!$C$3:$C$501,"=31",'Plan prihoda za unos u SAP'!$K$3:$K$501,"=631")</f>
        <v>0</v>
      </c>
      <c r="H52" s="186">
        <f>SUMIFS('Plan prihoda za unos u SAP'!$H$3:$H$501,'Plan prihoda za unos u SAP'!$C$3:$C$501,"=41",'Plan prihoda za unos u SAP'!$K$3:$K$501,"=631")</f>
        <v>0</v>
      </c>
      <c r="I52" s="186">
        <f>SUMIFS('Plan prihoda za unos u SAP'!$H$3:$H$501,'Plan prihoda za unos u SAP'!$C$3:$C$501,"=43",'Plan prihoda za unos u SAP'!$K$3:$K$501,"=631")</f>
        <v>0</v>
      </c>
      <c r="J52" s="186">
        <f>SUMIFS('Plan prihoda za unos u SAP'!$H$3:$H$501,'Plan prihoda za unos u SAP'!$C$3:$C$501,"=51",'Plan prihoda za unos u SAP'!$K$3:$K$501,"=631")</f>
        <v>0</v>
      </c>
      <c r="K52" s="186">
        <f>SUMIFS('Plan prihoda za unos u SAP'!$H$3:$H$501,'Plan prihoda za unos u SAP'!$C$3:$C$501,"=52",'Plan prihoda za unos u SAP'!$K$3:$K$501,"=631")</f>
        <v>0</v>
      </c>
      <c r="L52" s="186">
        <f>SUMIFS('Plan prihoda za unos u SAP'!$H$3:$H$501,'Plan prihoda za unos u SAP'!$C$3:$C$501,"=552",'Plan prihoda za unos u SAP'!$K$3:$K$501,"=631")</f>
        <v>0</v>
      </c>
      <c r="M52" s="186">
        <f>SUMIFS('Plan prihoda za unos u SAP'!$H$3:$H$501,'Plan prihoda za unos u SAP'!$C$3:$C$501,"=559",'Plan prihoda za unos u SAP'!$K$3:$K$501,"=631")</f>
        <v>0</v>
      </c>
      <c r="N52" s="186">
        <f>SUMIFS('Plan prihoda za unos u SAP'!$H$3:$H$501,'Plan prihoda za unos u SAP'!$C$3:$C$501,"=561",'Plan prihoda za unos u SAP'!$K$3:$K$501,"=631")</f>
        <v>0</v>
      </c>
      <c r="O52" s="186">
        <f>SUMIFS('Plan prihoda za unos u SAP'!$H$3:$H$501,'Plan prihoda za unos u SAP'!$C$3:$C$501,"=563",'Plan prihoda za unos u SAP'!$K$3:$K$501,"=631")</f>
        <v>0</v>
      </c>
      <c r="P52" s="186">
        <f>SUMIFS('Plan prihoda za unos u SAP'!$H$3:$H$501,'Plan prihoda za unos u SAP'!$C$3:$C$501,"=573",'Plan prihoda za unos u SAP'!$K$3:$K$501,"=631")</f>
        <v>0</v>
      </c>
      <c r="Q52" s="186">
        <f>SUMIFS('Plan prihoda za unos u SAP'!$H$3:$H$501,'Plan prihoda za unos u SAP'!$C$3:$C$501,"=575",'Plan prihoda za unos u SAP'!$K$3:$K$501,"=631")</f>
        <v>0</v>
      </c>
      <c r="R52" s="186">
        <f>SUMIFS('Plan prihoda za unos u SAP'!$H$3:$H$501,'Plan prihoda za unos u SAP'!$C$3:$C$501,"=576",'Plan prihoda za unos u SAP'!$K$3:$K$501,"=631")</f>
        <v>0</v>
      </c>
      <c r="S52" s="186">
        <f>SUMIFS('Plan prihoda za unos u SAP'!$H$3:$H$501,'Plan prihoda za unos u SAP'!$C$3:$C$501,"=581",'Plan prihoda za unos u SAP'!$K$3:$K$501,"=631")</f>
        <v>0</v>
      </c>
      <c r="T52" s="186">
        <f>SUMIFS('Plan prihoda za unos u SAP'!$H$3:$H$501,'Plan prihoda za unos u SAP'!$C$3:$C$501,"=61",'Plan prihoda za unos u SAP'!$K$3:$K$501,"=631")</f>
        <v>0</v>
      </c>
      <c r="U52" s="186">
        <f>SUMIFS('Plan prihoda za unos u SAP'!$H$3:$H$501,'Plan prihoda za unos u SAP'!$C$3:$C$501,"=63",'Plan prihoda za unos u SAP'!$K$3:$K$501,"=631")</f>
        <v>0</v>
      </c>
      <c r="V52" s="186">
        <f>SUMIFS('Plan prihoda za unos u SAP'!$H$3:$H$501,'Plan prihoda za unos u SAP'!$C$3:$C$501,"=71",'Plan prihoda za unos u SAP'!$K$3:$K$501,"=631")</f>
        <v>0</v>
      </c>
      <c r="W52" s="186">
        <f>SUMIFS('Plan prihoda za unos u SAP'!$H$3:$H$501,'Plan prihoda za unos u SAP'!$C$3:$C$501,"=81",'Plan prihoda za unos u SAP'!$K$3:$K$501,"=631")</f>
        <v>0</v>
      </c>
    </row>
    <row r="53" spans="1:29" s="90" customFormat="1">
      <c r="A53" s="90">
        <v>2022</v>
      </c>
      <c r="B53" s="95" t="s">
        <v>277</v>
      </c>
      <c r="C53" s="96" t="s">
        <v>278</v>
      </c>
      <c r="D53" s="70">
        <f t="shared" si="12"/>
        <v>65000</v>
      </c>
      <c r="E53" s="186">
        <f>SUMIFS('Plan prihoda za unos u SAP'!$H$3:$H$501,'Plan prihoda za unos u SAP'!$C$3:$C$501,"=11",'Plan prihoda za unos u SAP'!$K$3:$K$501,"=632")</f>
        <v>0</v>
      </c>
      <c r="F53" s="186">
        <f>SUMIFS('Plan prihoda za unos u SAP'!$H$3:$H$501,'Plan prihoda za unos u SAP'!$C$3:$C$501,"=12",'Plan prihoda za unos u SAP'!$K$3:$K$501,"=632")</f>
        <v>0</v>
      </c>
      <c r="G53" s="186">
        <f>SUMIFS('Plan prihoda za unos u SAP'!$H$3:$H$501,'Plan prihoda za unos u SAP'!$C$3:$C$501,"=31",'Plan prihoda za unos u SAP'!$K$3:$K$501,"=632")</f>
        <v>0</v>
      </c>
      <c r="H53" s="186">
        <f>SUMIFS('Plan prihoda za unos u SAP'!$H$3:$H$501,'Plan prihoda za unos u SAP'!$C$3:$C$501,"=41",'Plan prihoda za unos u SAP'!$K$3:$K$501,"=632")</f>
        <v>0</v>
      </c>
      <c r="I53" s="186">
        <f>SUMIFS('Plan prihoda za unos u SAP'!$H$3:$H$501,'Plan prihoda za unos u SAP'!$C$3:$C$501,"=43",'Plan prihoda za unos u SAP'!$K$3:$K$501,"=632")</f>
        <v>0</v>
      </c>
      <c r="J53" s="186">
        <f>SUMIFS('Plan prihoda za unos u SAP'!$H$3:$H$501,'Plan prihoda za unos u SAP'!$C$3:$C$501,"=51",'Plan prihoda za unos u SAP'!$K$3:$K$501,"=632")</f>
        <v>65000</v>
      </c>
      <c r="K53" s="186">
        <f>SUMIFS('Plan prihoda za unos u SAP'!$H$3:$H$501,'Plan prihoda za unos u SAP'!$C$3:$C$501,"=52",'Plan prihoda za unos u SAP'!$K$3:$K$501,"=632")</f>
        <v>0</v>
      </c>
      <c r="L53" s="186">
        <f>SUMIFS('Plan prihoda za unos u SAP'!$H$3:$H$501,'Plan prihoda za unos u SAP'!$C$3:$C$501,"=552",'Plan prihoda za unos u SAP'!$K$3:$K$501,"=632")</f>
        <v>0</v>
      </c>
      <c r="M53" s="186">
        <f>SUMIFS('Plan prihoda za unos u SAP'!$H$3:$H$501,'Plan prihoda za unos u SAP'!$C$3:$C$501,"=559",'Plan prihoda za unos u SAP'!$K$3:$K$501,"=632")</f>
        <v>0</v>
      </c>
      <c r="N53" s="186">
        <f>SUMIFS('Plan prihoda za unos u SAP'!$H$3:$H$501,'Plan prihoda za unos u SAP'!$C$3:$C$501,"=561",'Plan prihoda za unos u SAP'!$K$3:$K$501,"=632")</f>
        <v>0</v>
      </c>
      <c r="O53" s="186">
        <f>SUMIFS('Plan prihoda za unos u SAP'!$H$3:$H$501,'Plan prihoda za unos u SAP'!$C$3:$C$501,"=563",'Plan prihoda za unos u SAP'!$K$3:$K$501,"=632")</f>
        <v>0</v>
      </c>
      <c r="P53" s="186">
        <f>SUMIFS('Plan prihoda za unos u SAP'!$H$3:$H$501,'Plan prihoda za unos u SAP'!$C$3:$C$501,"=573",'Plan prihoda za unos u SAP'!$K$3:$K$501,"=632")</f>
        <v>0</v>
      </c>
      <c r="Q53" s="186">
        <f>SUMIFS('Plan prihoda za unos u SAP'!$H$3:$H$501,'Plan prihoda za unos u SAP'!$C$3:$C$501,"=575",'Plan prihoda za unos u SAP'!$K$3:$K$501,"=632")</f>
        <v>0</v>
      </c>
      <c r="R53" s="186">
        <f>SUMIFS('Plan prihoda za unos u SAP'!$H$3:$H$501,'Plan prihoda za unos u SAP'!$C$3:$C$501,"=576",'Plan prihoda za unos u SAP'!$K$3:$K$501,"=632")</f>
        <v>0</v>
      </c>
      <c r="S53" s="186">
        <f>SUMIFS('Plan prihoda za unos u SAP'!$H$3:$H$501,'Plan prihoda za unos u SAP'!$C$3:$C$501,"=581",'Plan prihoda za unos u SAP'!$K$3:$K$501,"=632")</f>
        <v>0</v>
      </c>
      <c r="T53" s="186">
        <f>SUMIFS('Plan prihoda za unos u SAP'!$H$3:$H$501,'Plan prihoda za unos u SAP'!$C$3:$C$501,"=61",'Plan prihoda za unos u SAP'!$K$3:$K$501,"=632")</f>
        <v>0</v>
      </c>
      <c r="U53" s="186">
        <f>SUMIFS('Plan prihoda za unos u SAP'!$H$3:$H$501,'Plan prihoda za unos u SAP'!$C$3:$C$501,"=63",'Plan prihoda za unos u SAP'!$K$3:$K$501,"=632")</f>
        <v>0</v>
      </c>
      <c r="V53" s="186">
        <f>SUMIFS('Plan prihoda za unos u SAP'!$H$3:$H$501,'Plan prihoda za unos u SAP'!$C$3:$C$501,"=71",'Plan prihoda za unos u SAP'!$K$3:$K$501,"=632")</f>
        <v>0</v>
      </c>
      <c r="W53" s="186">
        <f>SUMIFS('Plan prihoda za unos u SAP'!$H$3:$H$501,'Plan prihoda za unos u SAP'!$C$3:$C$501,"=81",'Plan prihoda za unos u SAP'!$K$3:$K$501,"=632")</f>
        <v>0</v>
      </c>
    </row>
    <row r="54" spans="1:29" s="90" customFormat="1">
      <c r="A54" s="90">
        <v>2022</v>
      </c>
      <c r="B54" s="95" t="s">
        <v>279</v>
      </c>
      <c r="C54" s="96" t="s">
        <v>280</v>
      </c>
      <c r="D54" s="70">
        <f t="shared" si="12"/>
        <v>0</v>
      </c>
      <c r="E54" s="186">
        <f>SUMIFS('Plan prihoda za unos u SAP'!$H$3:$H$501,'Plan prihoda za unos u SAP'!$C$3:$C$501,"=11",'Plan prihoda za unos u SAP'!$K$3:$K$501,"=634")</f>
        <v>0</v>
      </c>
      <c r="F54" s="186">
        <f>SUMIFS('Plan prihoda za unos u SAP'!$H$3:$H$501,'Plan prihoda za unos u SAP'!$C$3:$C$501,"=12",'Plan prihoda za unos u SAP'!$K$3:$K$501,"=634")</f>
        <v>0</v>
      </c>
      <c r="G54" s="186">
        <f>SUMIFS('Plan prihoda za unos u SAP'!$H$3:$H$501,'Plan prihoda za unos u SAP'!$C$3:$C$501,"=31",'Plan prihoda za unos u SAP'!$K$3:$K$501,"=634")</f>
        <v>0</v>
      </c>
      <c r="H54" s="186">
        <f>SUMIFS('Plan prihoda za unos u SAP'!$H$3:$H$501,'Plan prihoda za unos u SAP'!$C$3:$C$501,"=41",'Plan prihoda za unos u SAP'!$K$3:$K$501,"=634")</f>
        <v>0</v>
      </c>
      <c r="I54" s="186">
        <f>SUMIFS('Plan prihoda za unos u SAP'!$H$3:$H$501,'Plan prihoda za unos u SAP'!$C$3:$C$501,"=43",'Plan prihoda za unos u SAP'!$K$3:$K$501,"=634")</f>
        <v>0</v>
      </c>
      <c r="J54" s="186">
        <f>SUMIFS('Plan prihoda za unos u SAP'!$H$3:$H$501,'Plan prihoda za unos u SAP'!$C$3:$C$501,"=51",'Plan prihoda za unos u SAP'!$K$3:$K$501,"=634")</f>
        <v>0</v>
      </c>
      <c r="K54" s="186">
        <f>SUMIFS('Plan prihoda za unos u SAP'!$H$3:$H$501,'Plan prihoda za unos u SAP'!$C$3:$C$501,"=52",'Plan prihoda za unos u SAP'!$K$3:$K$501,"=634")</f>
        <v>0</v>
      </c>
      <c r="L54" s="186">
        <f>SUMIFS('Plan prihoda za unos u SAP'!$H$3:$H$501,'Plan prihoda za unos u SAP'!$C$3:$C$501,"=552",'Plan prihoda za unos u SAP'!$K$3:$K$501,"=634")</f>
        <v>0</v>
      </c>
      <c r="M54" s="186">
        <f>SUMIFS('Plan prihoda za unos u SAP'!$H$3:$H$501,'Plan prihoda za unos u SAP'!$C$3:$C$501,"=559",'Plan prihoda za unos u SAP'!$K$3:$K$501,"=634")</f>
        <v>0</v>
      </c>
      <c r="N54" s="186">
        <f>SUMIFS('Plan prihoda za unos u SAP'!$H$3:$H$501,'Plan prihoda za unos u SAP'!$C$3:$C$501,"=561",'Plan prihoda za unos u SAP'!$K$3:$K$501,"=634")</f>
        <v>0</v>
      </c>
      <c r="O54" s="186">
        <f>SUMIFS('Plan prihoda za unos u SAP'!$H$3:$H$501,'Plan prihoda za unos u SAP'!$C$3:$C$501,"=563",'Plan prihoda za unos u SAP'!$K$3:$K$501,"=634")</f>
        <v>0</v>
      </c>
      <c r="P54" s="186">
        <f>SUMIFS('Plan prihoda za unos u SAP'!$H$3:$H$501,'Plan prihoda za unos u SAP'!$C$3:$C$501,"=573",'Plan prihoda za unos u SAP'!$K$3:$K$501,"=634")</f>
        <v>0</v>
      </c>
      <c r="Q54" s="186">
        <f>SUMIFS('Plan prihoda za unos u SAP'!$H$3:$H$501,'Plan prihoda za unos u SAP'!$C$3:$C$501,"=575",'Plan prihoda za unos u SAP'!$K$3:$K$501,"=634")</f>
        <v>0</v>
      </c>
      <c r="R54" s="186">
        <f>SUMIFS('Plan prihoda za unos u SAP'!$H$3:$H$501,'Plan prihoda za unos u SAP'!$C$3:$C$501,"=576",'Plan prihoda za unos u SAP'!$K$3:$K$501,"=634")</f>
        <v>0</v>
      </c>
      <c r="S54" s="186">
        <f>SUMIFS('Plan prihoda za unos u SAP'!$H$3:$H$501,'Plan prihoda za unos u SAP'!$C$3:$C$501,"=581",'Plan prihoda za unos u SAP'!$K$3:$K$501,"=634")</f>
        <v>0</v>
      </c>
      <c r="T54" s="186">
        <f>SUMIFS('Plan prihoda za unos u SAP'!$H$3:$H$501,'Plan prihoda za unos u SAP'!$C$3:$C$501,"=61",'Plan prihoda za unos u SAP'!$K$3:$K$501,"=634")</f>
        <v>0</v>
      </c>
      <c r="U54" s="186">
        <f>SUMIFS('Plan prihoda za unos u SAP'!$H$3:$H$501,'Plan prihoda za unos u SAP'!$C$3:$C$501,"=63",'Plan prihoda za unos u SAP'!$K$3:$K$501,"=634")</f>
        <v>0</v>
      </c>
      <c r="V54" s="186">
        <f>SUMIFS('Plan prihoda za unos u SAP'!$H$3:$H$501,'Plan prihoda za unos u SAP'!$C$3:$C$501,"=71",'Plan prihoda za unos u SAP'!$K$3:$K$501,"=634")</f>
        <v>0</v>
      </c>
      <c r="W54" s="186">
        <f>SUMIFS('Plan prihoda za unos u SAP'!$H$3:$H$501,'Plan prihoda za unos u SAP'!$C$3:$C$501,"=81",'Plan prihoda za unos u SAP'!$K$3:$K$501,"=634")</f>
        <v>0</v>
      </c>
    </row>
    <row r="55" spans="1:29" s="90" customFormat="1">
      <c r="A55" s="90">
        <v>2022</v>
      </c>
      <c r="B55" s="206" t="s">
        <v>736</v>
      </c>
      <c r="C55" s="96" t="s">
        <v>737</v>
      </c>
      <c r="D55" s="70">
        <f t="shared" si="12"/>
        <v>0</v>
      </c>
      <c r="E55" s="186">
        <f>SUMIFS('Plan prihoda za unos u SAP'!$H$3:$H$501,'Plan prihoda za unos u SAP'!$C$3:$C$501,"=11",'Plan prihoda za unos u SAP'!$K$3:$K$501,"=636")</f>
        <v>0</v>
      </c>
      <c r="F55" s="186">
        <f>SUMIFS('Plan prihoda za unos u SAP'!$H$3:$H$501,'Plan prihoda za unos u SAP'!$C$3:$C$501,"=12",'Plan prihoda za unos u SAP'!$K$3:$K$501,"=636")</f>
        <v>0</v>
      </c>
      <c r="G55" s="186">
        <f>SUMIFS('Plan prihoda za unos u SAP'!$H$3:$H$501,'Plan prihoda za unos u SAP'!$C$3:$C$501,"=31",'Plan prihoda za unos u SAP'!$K$3:$K$501,"=636")</f>
        <v>0</v>
      </c>
      <c r="H55" s="186">
        <f>SUMIFS('Plan prihoda za unos u SAP'!$H$3:$H$501,'Plan prihoda za unos u SAP'!$C$3:$C$501,"=41",'Plan prihoda za unos u SAP'!$K$3:$K$501,"=636")</f>
        <v>0</v>
      </c>
      <c r="I55" s="186">
        <f>SUMIFS('Plan prihoda za unos u SAP'!$H$3:$H$501,'Plan prihoda za unos u SAP'!$C$3:$C$501,"=43",'Plan prihoda za unos u SAP'!$K$3:$K$501,"=636")</f>
        <v>0</v>
      </c>
      <c r="J55" s="186">
        <f>SUMIFS('Plan prihoda za unos u SAP'!$H$3:$H$501,'Plan prihoda za unos u SAP'!$C$3:$C$501,"=51",'Plan prihoda za unos u SAP'!$K$3:$K$501,"=636")</f>
        <v>0</v>
      </c>
      <c r="K55" s="186">
        <f>SUMIFS('Plan prihoda za unos u SAP'!$H$3:$H$501,'Plan prihoda za unos u SAP'!$C$3:$C$501,"=52",'Plan prihoda za unos u SAP'!$K$3:$K$501,"=636")</f>
        <v>0</v>
      </c>
      <c r="L55" s="186">
        <f>SUMIFS('Plan prihoda za unos u SAP'!$H$3:$H$501,'Plan prihoda za unos u SAP'!$C$3:$C$501,"=552",'Plan prihoda za unos u SAP'!$K$3:$K$501,"=636")</f>
        <v>0</v>
      </c>
      <c r="M55" s="186">
        <f>SUMIFS('Plan prihoda za unos u SAP'!$H$3:$H$501,'Plan prihoda za unos u SAP'!$C$3:$C$501,"=559",'Plan prihoda za unos u SAP'!$K$3:$K$501,"=636")</f>
        <v>0</v>
      </c>
      <c r="N55" s="186">
        <f>SUMIFS('Plan prihoda za unos u SAP'!$H$3:$H$501,'Plan prihoda za unos u SAP'!$C$3:$C$501,"=561",'Plan prihoda za unos u SAP'!$K$3:$K$501,"=636")</f>
        <v>0</v>
      </c>
      <c r="O55" s="186">
        <f>SUMIFS('Plan prihoda za unos u SAP'!$H$3:$H$501,'Plan prihoda za unos u SAP'!$C$3:$C$501,"=563",'Plan prihoda za unos u SAP'!$K$3:$K$501,"=636")</f>
        <v>0</v>
      </c>
      <c r="P55" s="186">
        <f>SUMIFS('Plan prihoda za unos u SAP'!$H$3:$H$501,'Plan prihoda za unos u SAP'!$C$3:$C$501,"=573",'Plan prihoda za unos u SAP'!$K$3:$K$501,"=636")</f>
        <v>0</v>
      </c>
      <c r="Q55" s="186">
        <f>SUMIFS('Plan prihoda za unos u SAP'!$H$3:$H$501,'Plan prihoda za unos u SAP'!$C$3:$C$501,"=575",'Plan prihoda za unos u SAP'!$K$3:$K$501,"=636")</f>
        <v>0</v>
      </c>
      <c r="R55" s="186">
        <f>SUMIFS('Plan prihoda za unos u SAP'!$H$3:$H$501,'Plan prihoda za unos u SAP'!$C$3:$C$501,"=576",'Plan prihoda za unos u SAP'!$K$3:$K$501,"=636")</f>
        <v>0</v>
      </c>
      <c r="S55" s="186">
        <f>SUMIFS('Plan prihoda za unos u SAP'!$H$3:$H$501,'Plan prihoda za unos u SAP'!$C$3:$C$501,"=581",'Plan prihoda za unos u SAP'!$K$3:$K$501,"=636")</f>
        <v>0</v>
      </c>
      <c r="T55" s="186">
        <f>SUMIFS('Plan prihoda za unos u SAP'!$H$3:$H$501,'Plan prihoda za unos u SAP'!$C$3:$C$501,"=61",'Plan prihoda za unos u SAP'!$K$3:$K$501,"=636")</f>
        <v>0</v>
      </c>
      <c r="U55" s="186">
        <f>SUMIFS('Plan prihoda za unos u SAP'!$H$3:$H$501,'Plan prihoda za unos u SAP'!$C$3:$C$501,"=63",'Plan prihoda za unos u SAP'!$K$3:$K$501,"=636")</f>
        <v>0</v>
      </c>
      <c r="V55" s="186">
        <f>SUMIFS('Plan prihoda za unos u SAP'!$H$3:$H$501,'Plan prihoda za unos u SAP'!$C$3:$C$501,"=71",'Plan prihoda za unos u SAP'!$K$3:$K$501,"=636")</f>
        <v>0</v>
      </c>
      <c r="W55" s="186">
        <f>SUMIFS('Plan prihoda za unos u SAP'!$H$3:$H$501,'Plan prihoda za unos u SAP'!$C$3:$C$501,"=81",'Plan prihoda za unos u SAP'!$K$3:$K$501,"=636")</f>
        <v>0</v>
      </c>
    </row>
    <row r="56" spans="1:29" s="90" customFormat="1">
      <c r="A56" s="90">
        <v>2022</v>
      </c>
      <c r="B56" s="95" t="s">
        <v>281</v>
      </c>
      <c r="C56" s="96" t="s">
        <v>282</v>
      </c>
      <c r="D56" s="70">
        <f t="shared" si="12"/>
        <v>0</v>
      </c>
      <c r="E56" s="186">
        <f>SUMIFS('Plan prihoda za unos u SAP'!$H$3:$H$501,'Plan prihoda za unos u SAP'!$C$3:$C$501,"=11",'Plan prihoda za unos u SAP'!$K$3:$K$501,"=638")</f>
        <v>0</v>
      </c>
      <c r="F56" s="186">
        <f>SUMIFS('Plan prihoda za unos u SAP'!$H$3:$H$501,'Plan prihoda za unos u SAP'!$C$3:$C$501,"=12",'Plan prihoda za unos u SAP'!$K$3:$K$501,"=638")</f>
        <v>0</v>
      </c>
      <c r="G56" s="186">
        <f>SUMIFS('Plan prihoda za unos u SAP'!$H$3:$H$501,'Plan prihoda za unos u SAP'!$C$3:$C$501,"=31",'Plan prihoda za unos u SAP'!$K$3:$K$501,"=638")</f>
        <v>0</v>
      </c>
      <c r="H56" s="186">
        <f>SUMIFS('Plan prihoda za unos u SAP'!$H$3:$H$501,'Plan prihoda za unos u SAP'!$C$3:$C$501,"=41",'Plan prihoda za unos u SAP'!$K$3:$K$501,"=638")</f>
        <v>0</v>
      </c>
      <c r="I56" s="186">
        <f>SUMIFS('Plan prihoda za unos u SAP'!$H$3:$H$501,'Plan prihoda za unos u SAP'!$C$3:$C$501,"=43",'Plan prihoda za unos u SAP'!$K$3:$K$501,"=638")</f>
        <v>0</v>
      </c>
      <c r="J56" s="186">
        <f>SUMIFS('Plan prihoda za unos u SAP'!$H$3:$H$501,'Plan prihoda za unos u SAP'!$C$3:$C$501,"=51",'Plan prihoda za unos u SAP'!$K$3:$K$501,"=638")</f>
        <v>0</v>
      </c>
      <c r="K56" s="186">
        <f>SUMIFS('Plan prihoda za unos u SAP'!$H$3:$H$501,'Plan prihoda za unos u SAP'!$C$3:$C$501,"=52",'Plan prihoda za unos u SAP'!$K$3:$K$501,"=638")</f>
        <v>0</v>
      </c>
      <c r="L56" s="186">
        <f>SUMIFS('Plan prihoda za unos u SAP'!$H$3:$H$501,'Plan prihoda za unos u SAP'!$C$3:$C$501,"=552",'Plan prihoda za unos u SAP'!$K$3:$K$501,"=638")</f>
        <v>0</v>
      </c>
      <c r="M56" s="186">
        <f>SUMIFS('Plan prihoda za unos u SAP'!$H$3:$H$501,'Plan prihoda za unos u SAP'!$C$3:$C$501,"=559",'Plan prihoda za unos u SAP'!$K$3:$K$501,"=638")</f>
        <v>0</v>
      </c>
      <c r="N56" s="186">
        <f>SUMIFS('Plan prihoda za unos u SAP'!$H$3:$H$501,'Plan prihoda za unos u SAP'!$C$3:$C$501,"=561",'Plan prihoda za unos u SAP'!$K$3:$K$501,"=638")</f>
        <v>0</v>
      </c>
      <c r="O56" s="186">
        <f>SUMIFS('Plan prihoda za unos u SAP'!$H$3:$H$501,'Plan prihoda za unos u SAP'!$C$3:$C$501,"=563",'Plan prihoda za unos u SAP'!$K$3:$K$501,"=638")</f>
        <v>0</v>
      </c>
      <c r="P56" s="186">
        <f>SUMIFS('Plan prihoda za unos u SAP'!$H$3:$H$501,'Plan prihoda za unos u SAP'!$C$3:$C$501,"=573",'Plan prihoda za unos u SAP'!$K$3:$K$501,"=638")</f>
        <v>0</v>
      </c>
      <c r="Q56" s="186">
        <f>SUMIFS('Plan prihoda za unos u SAP'!$H$3:$H$501,'Plan prihoda za unos u SAP'!$C$3:$C$501,"=575",'Plan prihoda za unos u SAP'!$K$3:$K$501,"=638")</f>
        <v>0</v>
      </c>
      <c r="R56" s="186">
        <f>SUMIFS('Plan prihoda za unos u SAP'!$H$3:$H$501,'Plan prihoda za unos u SAP'!$C$3:$C$501,"=576",'Plan prihoda za unos u SAP'!$K$3:$K$501,"=638")</f>
        <v>0</v>
      </c>
      <c r="S56" s="186">
        <f>SUMIFS('Plan prihoda za unos u SAP'!$H$3:$H$501,'Plan prihoda za unos u SAP'!$C$3:$C$501,"=581",'Plan prihoda za unos u SAP'!$K$3:$K$501,"=638")</f>
        <v>0</v>
      </c>
      <c r="T56" s="186">
        <f>SUMIFS('Plan prihoda za unos u SAP'!$H$3:$H$501,'Plan prihoda za unos u SAP'!$C$3:$C$501,"=61",'Plan prihoda za unos u SAP'!$K$3:$K$501,"=638")</f>
        <v>0</v>
      </c>
      <c r="U56" s="186">
        <f>SUMIFS('Plan prihoda za unos u SAP'!$H$3:$H$501,'Plan prihoda za unos u SAP'!$C$3:$C$501,"=63",'Plan prihoda za unos u SAP'!$K$3:$K$501,"=638")</f>
        <v>0</v>
      </c>
      <c r="V56" s="186">
        <f>SUMIFS('Plan prihoda za unos u SAP'!$H$3:$H$501,'Plan prihoda za unos u SAP'!$C$3:$C$501,"=71",'Plan prihoda za unos u SAP'!$K$3:$K$501,"=638")</f>
        <v>0</v>
      </c>
      <c r="W56" s="186">
        <f>SUMIFS('Plan prihoda za unos u SAP'!$H$3:$H$501,'Plan prihoda za unos u SAP'!$C$3:$C$501,"=81",'Plan prihoda za unos u SAP'!$K$3:$K$501,"=638")</f>
        <v>0</v>
      </c>
    </row>
    <row r="57" spans="1:29" s="90" customFormat="1">
      <c r="A57" s="90">
        <v>2022</v>
      </c>
      <c r="B57" s="95" t="s">
        <v>283</v>
      </c>
      <c r="C57" s="96" t="s">
        <v>41</v>
      </c>
      <c r="D57" s="70">
        <f t="shared" si="12"/>
        <v>578476</v>
      </c>
      <c r="E57" s="186">
        <f>SUMIFS('Plan prihoda za unos u SAP'!$H$3:$H$501,'Plan prihoda za unos u SAP'!$C$3:$C$501,"=11",'Plan prihoda za unos u SAP'!$K$3:$K$501,"=639")</f>
        <v>0</v>
      </c>
      <c r="F57" s="186">
        <f>SUMIFS('Plan prihoda za unos u SAP'!$H$3:$H$501,'Plan prihoda za unos u SAP'!$C$3:$C$501,"=12",'Plan prihoda za unos u SAP'!$K$3:$K$501,"=639")</f>
        <v>0</v>
      </c>
      <c r="G57" s="186">
        <f>SUMIFS('Plan prihoda za unos u SAP'!$H$3:$H$501,'Plan prihoda za unos u SAP'!$C$3:$C$501,"=31",'Plan prihoda za unos u SAP'!$K$3:$K$501,"=639")</f>
        <v>0</v>
      </c>
      <c r="H57" s="186">
        <f>SUMIFS('Plan prihoda za unos u SAP'!$H$3:$H$501,'Plan prihoda za unos u SAP'!$C$3:$C$501,"=41",'Plan prihoda za unos u SAP'!$K$3:$K$501,"=639")</f>
        <v>0</v>
      </c>
      <c r="I57" s="186">
        <f>SUMIFS('Plan prihoda za unos u SAP'!$H$3:$H$501,'Plan prihoda za unos u SAP'!$C$3:$C$501,"=43",'Plan prihoda za unos u SAP'!$K$3:$K$501,"=639")</f>
        <v>0</v>
      </c>
      <c r="J57" s="186">
        <f>SUMIFS('Plan prihoda za unos u SAP'!$H$3:$H$501,'Plan prihoda za unos u SAP'!$C$3:$C$501,"=51",'Plan prihoda za unos u SAP'!$K$3:$K$501,"=639")</f>
        <v>0</v>
      </c>
      <c r="K57" s="186">
        <f>SUMIFS('Plan prihoda za unos u SAP'!$H$3:$H$501,'Plan prihoda za unos u SAP'!$C$3:$C$501,"=52",'Plan prihoda za unos u SAP'!$K$3:$K$501,"=639")</f>
        <v>578476</v>
      </c>
      <c r="L57" s="186">
        <f>SUMIFS('Plan prihoda za unos u SAP'!$H$3:$H$501,'Plan prihoda za unos u SAP'!$C$3:$C$501,"=552",'Plan prihoda za unos u SAP'!$K$3:$K$501,"=639")</f>
        <v>0</v>
      </c>
      <c r="M57" s="186">
        <f>SUMIFS('Plan prihoda za unos u SAP'!$H$3:$H$501,'Plan prihoda za unos u SAP'!$C$3:$C$501,"=559",'Plan prihoda za unos u SAP'!$K$3:$K$501,"=639")</f>
        <v>0</v>
      </c>
      <c r="N57" s="186">
        <f>SUMIFS('Plan prihoda za unos u SAP'!$H$3:$H$501,'Plan prihoda za unos u SAP'!$C$3:$C$501,"=561",'Plan prihoda za unos u SAP'!$K$3:$K$501,"=639")</f>
        <v>0</v>
      </c>
      <c r="O57" s="186">
        <f>SUMIFS('Plan prihoda za unos u SAP'!$H$3:$H$501,'Plan prihoda za unos u SAP'!$C$3:$C$501,"=563",'Plan prihoda za unos u SAP'!$K$3:$K$501,"=639")</f>
        <v>0</v>
      </c>
      <c r="P57" s="186">
        <f>SUMIFS('Plan prihoda za unos u SAP'!$H$3:$H$501,'Plan prihoda za unos u SAP'!$C$3:$C$501,"=573",'Plan prihoda za unos u SAP'!$K$3:$K$501,"=639")</f>
        <v>0</v>
      </c>
      <c r="Q57" s="186">
        <f>SUMIFS('Plan prihoda za unos u SAP'!$H$3:$H$501,'Plan prihoda za unos u SAP'!$C$3:$C$501,"=575",'Plan prihoda za unos u SAP'!$K$3:$K$501,"=639")</f>
        <v>0</v>
      </c>
      <c r="R57" s="186">
        <f>SUMIFS('Plan prihoda za unos u SAP'!$H$3:$H$501,'Plan prihoda za unos u SAP'!$C$3:$C$501,"=576",'Plan prihoda za unos u SAP'!$K$3:$K$501,"=639")</f>
        <v>0</v>
      </c>
      <c r="S57" s="186">
        <f>SUMIFS('Plan prihoda za unos u SAP'!$H$3:$H$501,'Plan prihoda za unos u SAP'!$C$3:$C$501,"=581",'Plan prihoda za unos u SAP'!$K$3:$K$501,"=639")</f>
        <v>0</v>
      </c>
      <c r="T57" s="186">
        <f>SUMIFS('Plan prihoda za unos u SAP'!$H$3:$H$501,'Plan prihoda za unos u SAP'!$C$3:$C$501,"=61",'Plan prihoda za unos u SAP'!$K$3:$K$501,"=639")</f>
        <v>0</v>
      </c>
      <c r="U57" s="186">
        <f>SUMIFS('Plan prihoda za unos u SAP'!$H$3:$H$501,'Plan prihoda za unos u SAP'!$C$3:$C$501,"=63",'Plan prihoda za unos u SAP'!$K$3:$K$501,"=639")</f>
        <v>0</v>
      </c>
      <c r="V57" s="186">
        <f>SUMIFS('Plan prihoda za unos u SAP'!$H$3:$H$501,'Plan prihoda za unos u SAP'!$C$3:$C$501,"=71",'Plan prihoda za unos u SAP'!$K$3:$K$501,"=639")</f>
        <v>0</v>
      </c>
      <c r="W57" s="186">
        <f>SUMIFS('Plan prihoda za unos u SAP'!$H$3:$H$501,'Plan prihoda za unos u SAP'!$C$3:$C$501,"=81",'Plan prihoda za unos u SAP'!$K$3:$K$501,"=639")</f>
        <v>0</v>
      </c>
    </row>
    <row r="58" spans="1:29" s="90" customFormat="1">
      <c r="A58" s="90">
        <v>2022</v>
      </c>
      <c r="B58" s="95" t="s">
        <v>284</v>
      </c>
      <c r="C58" s="96" t="s">
        <v>285</v>
      </c>
      <c r="D58" s="70">
        <f t="shared" si="12"/>
        <v>4000</v>
      </c>
      <c r="E58" s="186">
        <f>SUMIFS('Plan prihoda za unos u SAP'!$H$3:$H$501,'Plan prihoda za unos u SAP'!$C$3:$C$501,"=11",'Plan prihoda za unos u SAP'!$K$3:$K$501,"=641")</f>
        <v>0</v>
      </c>
      <c r="F58" s="186">
        <f>SUMIFS('Plan prihoda za unos u SAP'!$H$3:$H$501,'Plan prihoda za unos u SAP'!$C$3:$C$501,"=12",'Plan prihoda za unos u SAP'!$K$3:$K$501,"=641")</f>
        <v>0</v>
      </c>
      <c r="G58" s="186">
        <f>SUMIFS('Plan prihoda za unos u SAP'!$H$3:$H$501,'Plan prihoda za unos u SAP'!$C$3:$C$501,"=31",'Plan prihoda za unos u SAP'!$K$3:$K$501,"=641")</f>
        <v>4000</v>
      </c>
      <c r="H58" s="186">
        <f>SUMIFS('Plan prihoda za unos u SAP'!$H$3:$H$501,'Plan prihoda za unos u SAP'!$C$3:$C$501,"=41",'Plan prihoda za unos u SAP'!$K$3:$K$501,"=641")</f>
        <v>0</v>
      </c>
      <c r="I58" s="186">
        <f>SUMIFS('Plan prihoda za unos u SAP'!$H$3:$H$501,'Plan prihoda za unos u SAP'!$C$3:$C$501,"=43",'Plan prihoda za unos u SAP'!$K$3:$K$501,"=641")</f>
        <v>0</v>
      </c>
      <c r="J58" s="186">
        <f>SUMIFS('Plan prihoda za unos u SAP'!$H$3:$H$501,'Plan prihoda za unos u SAP'!$C$3:$C$501,"=51",'Plan prihoda za unos u SAP'!$K$3:$K$501,"=641")</f>
        <v>0</v>
      </c>
      <c r="K58" s="186">
        <f>SUMIFS('Plan prihoda za unos u SAP'!$H$3:$H$501,'Plan prihoda za unos u SAP'!$C$3:$C$501,"=52",'Plan prihoda za unos u SAP'!$K$3:$K$501,"=641")</f>
        <v>0</v>
      </c>
      <c r="L58" s="186">
        <f>SUMIFS('Plan prihoda za unos u SAP'!$H$3:$H$501,'Plan prihoda za unos u SAP'!$C$3:$C$501,"=552",'Plan prihoda za unos u SAP'!$K$3:$K$501,"=641")</f>
        <v>0</v>
      </c>
      <c r="M58" s="186">
        <f>SUMIFS('Plan prihoda za unos u SAP'!$H$3:$H$501,'Plan prihoda za unos u SAP'!$C$3:$C$501,"=559",'Plan prihoda za unos u SAP'!$K$3:$K$501,"=641")</f>
        <v>0</v>
      </c>
      <c r="N58" s="186">
        <f>SUMIFS('Plan prihoda za unos u SAP'!$H$3:$H$501,'Plan prihoda za unos u SAP'!$C$3:$C$501,"=561",'Plan prihoda za unos u SAP'!$K$3:$K$501,"=641")</f>
        <v>0</v>
      </c>
      <c r="O58" s="186">
        <f>SUMIFS('Plan prihoda za unos u SAP'!$H$3:$H$501,'Plan prihoda za unos u SAP'!$C$3:$C$501,"=563",'Plan prihoda za unos u SAP'!$K$3:$K$501,"=641")</f>
        <v>0</v>
      </c>
      <c r="P58" s="186">
        <f>SUMIFS('Plan prihoda za unos u SAP'!$H$3:$H$501,'Plan prihoda za unos u SAP'!$C$3:$C$501,"=573",'Plan prihoda za unos u SAP'!$K$3:$K$501,"=641")</f>
        <v>0</v>
      </c>
      <c r="Q58" s="186">
        <f>SUMIFS('Plan prihoda za unos u SAP'!$H$3:$H$501,'Plan prihoda za unos u SAP'!$C$3:$C$501,"=575",'Plan prihoda za unos u SAP'!$K$3:$K$501,"=641")</f>
        <v>0</v>
      </c>
      <c r="R58" s="186">
        <f>SUMIFS('Plan prihoda za unos u SAP'!$H$3:$H$501,'Plan prihoda za unos u SAP'!$C$3:$C$501,"=576",'Plan prihoda za unos u SAP'!$K$3:$K$501,"=641")</f>
        <v>0</v>
      </c>
      <c r="S58" s="186">
        <f>SUMIFS('Plan prihoda za unos u SAP'!$H$3:$H$501,'Plan prihoda za unos u SAP'!$C$3:$C$501,"=581",'Plan prihoda za unos u SAP'!$K$3:$K$501,"=641")</f>
        <v>0</v>
      </c>
      <c r="T58" s="186">
        <f>SUMIFS('Plan prihoda za unos u SAP'!$H$3:$H$501,'Plan prihoda za unos u SAP'!$C$3:$C$501,"=61",'Plan prihoda za unos u SAP'!$K$3:$K$501,"=641")</f>
        <v>0</v>
      </c>
      <c r="U58" s="186">
        <f>SUMIFS('Plan prihoda za unos u SAP'!$H$3:$H$501,'Plan prihoda za unos u SAP'!$C$3:$C$501,"=63",'Plan prihoda za unos u SAP'!$K$3:$K$501,"=641")</f>
        <v>0</v>
      </c>
      <c r="V58" s="186">
        <f>SUMIFS('Plan prihoda za unos u SAP'!$H$3:$H$501,'Plan prihoda za unos u SAP'!$C$3:$C$501,"=71",'Plan prihoda za unos u SAP'!$K$3:$K$501,"=641")</f>
        <v>0</v>
      </c>
      <c r="W58" s="186">
        <f>SUMIFS('Plan prihoda za unos u SAP'!$H$3:$H$501,'Plan prihoda za unos u SAP'!$C$3:$C$501,"=81",'Plan prihoda za unos u SAP'!$K$3:$K$501,"=641")</f>
        <v>0</v>
      </c>
    </row>
    <row r="59" spans="1:29" s="90" customFormat="1">
      <c r="A59" s="90">
        <v>2022</v>
      </c>
      <c r="B59" s="95" t="s">
        <v>286</v>
      </c>
      <c r="C59" s="96" t="s">
        <v>287</v>
      </c>
      <c r="D59" s="70">
        <f t="shared" si="12"/>
        <v>0</v>
      </c>
      <c r="E59" s="186">
        <f>SUMIFS('Plan prihoda za unos u SAP'!$H$3:$H$501,'Plan prihoda za unos u SAP'!$C$3:$C$501,"=11",'Plan prihoda za unos u SAP'!$K$3:$K$501,"=642")</f>
        <v>0</v>
      </c>
      <c r="F59" s="186">
        <f>SUMIFS('Plan prihoda za unos u SAP'!$H$3:$H$501,'Plan prihoda za unos u SAP'!$C$3:$C$501,"=12",'Plan prihoda za unos u SAP'!$K$3:$K$501,"=642")</f>
        <v>0</v>
      </c>
      <c r="G59" s="186">
        <f>SUMIFS('Plan prihoda za unos u SAP'!$H$3:$H$501,'Plan prihoda za unos u SAP'!$C$3:$C$501,"=31",'Plan prihoda za unos u SAP'!$K$3:$K$501,"=642")</f>
        <v>0</v>
      </c>
      <c r="H59" s="186">
        <f>SUMIFS('Plan prihoda za unos u SAP'!$H$3:$H$501,'Plan prihoda za unos u SAP'!$C$3:$C$501,"=41",'Plan prihoda za unos u SAP'!$K$3:$K$501,"=642")</f>
        <v>0</v>
      </c>
      <c r="I59" s="186">
        <f>SUMIFS('Plan prihoda za unos u SAP'!$H$3:$H$501,'Plan prihoda za unos u SAP'!$C$3:$C$501,"=43",'Plan prihoda za unos u SAP'!$K$3:$K$501,"=642")</f>
        <v>0</v>
      </c>
      <c r="J59" s="186">
        <f>SUMIFS('Plan prihoda za unos u SAP'!$H$3:$H$501,'Plan prihoda za unos u SAP'!$C$3:$C$501,"=51",'Plan prihoda za unos u SAP'!$K$3:$K$501,"=642")</f>
        <v>0</v>
      </c>
      <c r="K59" s="186">
        <f>SUMIFS('Plan prihoda za unos u SAP'!$H$3:$H$501,'Plan prihoda za unos u SAP'!$C$3:$C$501,"=52",'Plan prihoda za unos u SAP'!$K$3:$K$501,"=642")</f>
        <v>0</v>
      </c>
      <c r="L59" s="186">
        <f>SUMIFS('Plan prihoda za unos u SAP'!$H$3:$H$501,'Plan prihoda za unos u SAP'!$C$3:$C$501,"=552",'Plan prihoda za unos u SAP'!$K$3:$K$501,"=642")</f>
        <v>0</v>
      </c>
      <c r="M59" s="186">
        <f>SUMIFS('Plan prihoda za unos u SAP'!$H$3:$H$501,'Plan prihoda za unos u SAP'!$C$3:$C$501,"=559",'Plan prihoda za unos u SAP'!$K$3:$K$501,"=642")</f>
        <v>0</v>
      </c>
      <c r="N59" s="186">
        <f>SUMIFS('Plan prihoda za unos u SAP'!$H$3:$H$501,'Plan prihoda za unos u SAP'!$C$3:$C$501,"=561",'Plan prihoda za unos u SAP'!$K$3:$K$501,"=642")</f>
        <v>0</v>
      </c>
      <c r="O59" s="186">
        <f>SUMIFS('Plan prihoda za unos u SAP'!$H$3:$H$501,'Plan prihoda za unos u SAP'!$C$3:$C$501,"=563",'Plan prihoda za unos u SAP'!$K$3:$K$501,"=642")</f>
        <v>0</v>
      </c>
      <c r="P59" s="186">
        <f>SUMIFS('Plan prihoda za unos u SAP'!$H$3:$H$501,'Plan prihoda za unos u SAP'!$C$3:$C$501,"=573",'Plan prihoda za unos u SAP'!$K$3:$K$501,"=642")</f>
        <v>0</v>
      </c>
      <c r="Q59" s="186">
        <f>SUMIFS('Plan prihoda za unos u SAP'!$H$3:$H$501,'Plan prihoda za unos u SAP'!$C$3:$C$501,"=575",'Plan prihoda za unos u SAP'!$K$3:$K$501,"=642")</f>
        <v>0</v>
      </c>
      <c r="R59" s="186">
        <f>SUMIFS('Plan prihoda za unos u SAP'!$H$3:$H$501,'Plan prihoda za unos u SAP'!$C$3:$C$501,"=576",'Plan prihoda za unos u SAP'!$K$3:$K$501,"=642")</f>
        <v>0</v>
      </c>
      <c r="S59" s="186">
        <f>SUMIFS('Plan prihoda za unos u SAP'!$H$3:$H$501,'Plan prihoda za unos u SAP'!$C$3:$C$501,"=581",'Plan prihoda za unos u SAP'!$K$3:$K$501,"=642")</f>
        <v>0</v>
      </c>
      <c r="T59" s="186">
        <f>SUMIFS('Plan prihoda za unos u SAP'!$H$3:$H$501,'Plan prihoda za unos u SAP'!$C$3:$C$501,"=61",'Plan prihoda za unos u SAP'!$K$3:$K$501,"=642")</f>
        <v>0</v>
      </c>
      <c r="U59" s="186">
        <f>SUMIFS('Plan prihoda za unos u SAP'!$H$3:$H$501,'Plan prihoda za unos u SAP'!$C$3:$C$501,"=63",'Plan prihoda za unos u SAP'!$K$3:$K$501,"=642")</f>
        <v>0</v>
      </c>
      <c r="V59" s="186">
        <f>SUMIFS('Plan prihoda za unos u SAP'!$H$3:$H$501,'Plan prihoda za unos u SAP'!$C$3:$C$501,"=71",'Plan prihoda za unos u SAP'!$K$3:$K$501,"=642")</f>
        <v>0</v>
      </c>
      <c r="W59" s="186">
        <f>SUMIFS('Plan prihoda za unos u SAP'!$H$3:$H$501,'Plan prihoda za unos u SAP'!$C$3:$C$501,"=81",'Plan prihoda za unos u SAP'!$K$3:$K$501,"=642")</f>
        <v>0</v>
      </c>
    </row>
    <row r="60" spans="1:29" s="90" customFormat="1">
      <c r="A60" s="90">
        <v>2022</v>
      </c>
      <c r="B60" s="206" t="s">
        <v>739</v>
      </c>
      <c r="C60" s="96" t="s">
        <v>738</v>
      </c>
      <c r="D60" s="70">
        <f t="shared" si="12"/>
        <v>0</v>
      </c>
      <c r="E60" s="186">
        <f>SUMIFS('Plan prihoda za unos u SAP'!$H$3:$H$501,'Plan prihoda za unos u SAP'!$C$3:$C$501,"=11",'Plan prihoda za unos u SAP'!$K$3:$K$501,"=651")</f>
        <v>0</v>
      </c>
      <c r="F60" s="186">
        <f>SUMIFS('Plan prihoda za unos u SAP'!$H$3:$H$501,'Plan prihoda za unos u SAP'!$C$3:$C$501,"=12",'Plan prihoda za unos u SAP'!$K$3:$K$501,"=651")</f>
        <v>0</v>
      </c>
      <c r="G60" s="186">
        <f>SUMIFS('Plan prihoda za unos u SAP'!$H$3:$H$501,'Plan prihoda za unos u SAP'!$C$3:$C$501,"=31",'Plan prihoda za unos u SAP'!$K$3:$K$501,"=651")</f>
        <v>0</v>
      </c>
      <c r="H60" s="186">
        <f>SUMIFS('Plan prihoda za unos u SAP'!$H$3:$H$501,'Plan prihoda za unos u SAP'!$C$3:$C$501,"=41",'Plan prihoda za unos u SAP'!$K$3:$K$501,"=651")</f>
        <v>0</v>
      </c>
      <c r="I60" s="186">
        <f>SUMIFS('Plan prihoda za unos u SAP'!$H$3:$H$501,'Plan prihoda za unos u SAP'!$C$3:$C$501,"=43",'Plan prihoda za unos u SAP'!$K$3:$K$501,"=651")</f>
        <v>0</v>
      </c>
      <c r="J60" s="186">
        <f>SUMIFS('Plan prihoda za unos u SAP'!$H$3:$H$501,'Plan prihoda za unos u SAP'!$C$3:$C$501,"=51",'Plan prihoda za unos u SAP'!$K$3:$K$501,"=651")</f>
        <v>0</v>
      </c>
      <c r="K60" s="186">
        <f>SUMIFS('Plan prihoda za unos u SAP'!$H$3:$H$501,'Plan prihoda za unos u SAP'!$C$3:$C$501,"=52",'Plan prihoda za unos u SAP'!$K$3:$K$501,"=651")</f>
        <v>0</v>
      </c>
      <c r="L60" s="186">
        <f>SUMIFS('Plan prihoda za unos u SAP'!$H$3:$H$501,'Plan prihoda za unos u SAP'!$C$3:$C$501,"=552",'Plan prihoda za unos u SAP'!$K$3:$K$501,"=651")</f>
        <v>0</v>
      </c>
      <c r="M60" s="186">
        <f>SUMIFS('Plan prihoda za unos u SAP'!$H$3:$H$501,'Plan prihoda za unos u SAP'!$C$3:$C$501,"=559",'Plan prihoda za unos u SAP'!$K$3:$K$501,"=651")</f>
        <v>0</v>
      </c>
      <c r="N60" s="186">
        <f>SUMIFS('Plan prihoda za unos u SAP'!$H$3:$H$501,'Plan prihoda za unos u SAP'!$C$3:$C$501,"=561",'Plan prihoda za unos u SAP'!$K$3:$K$501,"=651")</f>
        <v>0</v>
      </c>
      <c r="O60" s="186">
        <f>SUMIFS('Plan prihoda za unos u SAP'!$H$3:$H$501,'Plan prihoda za unos u SAP'!$C$3:$C$501,"=563",'Plan prihoda za unos u SAP'!$K$3:$K$501,"=651")</f>
        <v>0</v>
      </c>
      <c r="P60" s="186">
        <f>SUMIFS('Plan prihoda za unos u SAP'!$H$3:$H$501,'Plan prihoda za unos u SAP'!$C$3:$C$501,"=573",'Plan prihoda za unos u SAP'!$K$3:$K$501,"=651")</f>
        <v>0</v>
      </c>
      <c r="Q60" s="186">
        <f>SUMIFS('Plan prihoda za unos u SAP'!$H$3:$H$501,'Plan prihoda za unos u SAP'!$C$3:$C$501,"=575",'Plan prihoda za unos u SAP'!$K$3:$K$501,"=651")</f>
        <v>0</v>
      </c>
      <c r="R60" s="186">
        <f>SUMIFS('Plan prihoda za unos u SAP'!$H$3:$H$501,'Plan prihoda za unos u SAP'!$C$3:$C$501,"=576",'Plan prihoda za unos u SAP'!$K$3:$K$501,"=651")</f>
        <v>0</v>
      </c>
      <c r="S60" s="186">
        <f>SUMIFS('Plan prihoda za unos u SAP'!$H$3:$H$501,'Plan prihoda za unos u SAP'!$C$3:$C$501,"=581",'Plan prihoda za unos u SAP'!$K$3:$K$501,"=651")</f>
        <v>0</v>
      </c>
      <c r="T60" s="186">
        <f>SUMIFS('Plan prihoda za unos u SAP'!$H$3:$H$501,'Plan prihoda za unos u SAP'!$C$3:$C$501,"=61",'Plan prihoda za unos u SAP'!$K$3:$K$501,"=651")</f>
        <v>0</v>
      </c>
      <c r="U60" s="186">
        <f>SUMIFS('Plan prihoda za unos u SAP'!$H$3:$H$501,'Plan prihoda za unos u SAP'!$C$3:$C$501,"=63",'Plan prihoda za unos u SAP'!$K$3:$K$501,"=651")</f>
        <v>0</v>
      </c>
      <c r="V60" s="186">
        <f>SUMIFS('Plan prihoda za unos u SAP'!$H$3:$H$501,'Plan prihoda za unos u SAP'!$C$3:$C$501,"=71",'Plan prihoda za unos u SAP'!$K$3:$K$501,"=651")</f>
        <v>0</v>
      </c>
      <c r="W60" s="186">
        <f>SUMIFS('Plan prihoda za unos u SAP'!$H$3:$H$501,'Plan prihoda za unos u SAP'!$C$3:$C$501,"=81",'Plan prihoda za unos u SAP'!$K$3:$K$501,"=651")</f>
        <v>0</v>
      </c>
    </row>
    <row r="61" spans="1:29" s="90" customFormat="1">
      <c r="A61" s="90">
        <v>2022</v>
      </c>
      <c r="B61" s="95" t="s">
        <v>288</v>
      </c>
      <c r="C61" s="96" t="s">
        <v>289</v>
      </c>
      <c r="D61" s="70">
        <f t="shared" si="12"/>
        <v>13843500</v>
      </c>
      <c r="E61" s="186">
        <f>SUMIFS('Plan prihoda za unos u SAP'!$H$3:$H$501,'Plan prihoda za unos u SAP'!$C$3:$C$501,"=11",'Plan prihoda za unos u SAP'!$K$3:$K$501,"=652")</f>
        <v>0</v>
      </c>
      <c r="F61" s="186">
        <f>SUMIFS('Plan prihoda za unos u SAP'!$H$3:$H$501,'Plan prihoda za unos u SAP'!$C$3:$C$501,"=12",'Plan prihoda za unos u SAP'!$K$3:$K$501,"=652")</f>
        <v>0</v>
      </c>
      <c r="G61" s="186">
        <f>SUMIFS('Plan prihoda za unos u SAP'!$H$3:$H$501,'Plan prihoda za unos u SAP'!$C$3:$C$501,"=31",'Plan prihoda za unos u SAP'!$K$3:$K$501,"=652")</f>
        <v>0</v>
      </c>
      <c r="H61" s="186">
        <f>SUMIFS('Plan prihoda za unos u SAP'!$H$3:$H$501,'Plan prihoda za unos u SAP'!$C$3:$C$501,"=41",'Plan prihoda za unos u SAP'!$K$3:$K$501,"=652")</f>
        <v>0</v>
      </c>
      <c r="I61" s="186">
        <f>SUMIFS('Plan prihoda za unos u SAP'!$H$3:$H$501,'Plan prihoda za unos u SAP'!$C$3:$C$501,"=43",'Plan prihoda za unos u SAP'!$K$3:$K$501,"=652")</f>
        <v>13843500</v>
      </c>
      <c r="J61" s="186">
        <f>SUMIFS('Plan prihoda za unos u SAP'!$H$3:$H$501,'Plan prihoda za unos u SAP'!$C$3:$C$501,"=51",'Plan prihoda za unos u SAP'!$K$3:$K$501,"=652")</f>
        <v>0</v>
      </c>
      <c r="K61" s="186">
        <f>SUMIFS('Plan prihoda za unos u SAP'!$H$3:$H$501,'Plan prihoda za unos u SAP'!$C$3:$C$501,"=52",'Plan prihoda za unos u SAP'!$K$3:$K$501,"=652")</f>
        <v>0</v>
      </c>
      <c r="L61" s="186">
        <f>SUMIFS('Plan prihoda za unos u SAP'!$H$3:$H$501,'Plan prihoda za unos u SAP'!$C$3:$C$501,"=552",'Plan prihoda za unos u SAP'!$K$3:$K$501,"=652")</f>
        <v>0</v>
      </c>
      <c r="M61" s="186">
        <f>SUMIFS('Plan prihoda za unos u SAP'!$H$3:$H$501,'Plan prihoda za unos u SAP'!$C$3:$C$501,"=559",'Plan prihoda za unos u SAP'!$K$3:$K$501,"=652")</f>
        <v>0</v>
      </c>
      <c r="N61" s="186">
        <f>SUMIFS('Plan prihoda za unos u SAP'!$H$3:$H$501,'Plan prihoda za unos u SAP'!$C$3:$C$501,"=561",'Plan prihoda za unos u SAP'!$K$3:$K$501,"=652")</f>
        <v>0</v>
      </c>
      <c r="O61" s="186">
        <f>SUMIFS('Plan prihoda za unos u SAP'!$H$3:$H$501,'Plan prihoda za unos u SAP'!$C$3:$C$501,"=563",'Plan prihoda za unos u SAP'!$K$3:$K$501,"=652")</f>
        <v>0</v>
      </c>
      <c r="P61" s="186">
        <f>SUMIFS('Plan prihoda za unos u SAP'!$H$3:$H$501,'Plan prihoda za unos u SAP'!$C$3:$C$501,"=573",'Plan prihoda za unos u SAP'!$K$3:$K$501,"=652")</f>
        <v>0</v>
      </c>
      <c r="Q61" s="186">
        <f>SUMIFS('Plan prihoda za unos u SAP'!$H$3:$H$501,'Plan prihoda za unos u SAP'!$C$3:$C$501,"=575",'Plan prihoda za unos u SAP'!$K$3:$K$501,"=652")</f>
        <v>0</v>
      </c>
      <c r="R61" s="186">
        <f>SUMIFS('Plan prihoda za unos u SAP'!$H$3:$H$501,'Plan prihoda za unos u SAP'!$C$3:$C$501,"=576",'Plan prihoda za unos u SAP'!$K$3:$K$501,"=652")</f>
        <v>0</v>
      </c>
      <c r="S61" s="186">
        <f>SUMIFS('Plan prihoda za unos u SAP'!$H$3:$H$501,'Plan prihoda za unos u SAP'!$C$3:$C$501,"=581",'Plan prihoda za unos u SAP'!$K$3:$K$501,"=652")</f>
        <v>0</v>
      </c>
      <c r="T61" s="186">
        <f>SUMIFS('Plan prihoda za unos u SAP'!$H$3:$H$501,'Plan prihoda za unos u SAP'!$C$3:$C$501,"=61",'Plan prihoda za unos u SAP'!$K$3:$K$501,"=652")</f>
        <v>0</v>
      </c>
      <c r="U61" s="186">
        <f>SUMIFS('Plan prihoda za unos u SAP'!$H$3:$H$501,'Plan prihoda za unos u SAP'!$C$3:$C$501,"=63",'Plan prihoda za unos u SAP'!$K$3:$K$501,"=652")</f>
        <v>0</v>
      </c>
      <c r="V61" s="186">
        <f>SUMIFS('Plan prihoda za unos u SAP'!$H$3:$H$501,'Plan prihoda za unos u SAP'!$C$3:$C$501,"=71",'Plan prihoda za unos u SAP'!$K$3:$K$501,"=652")</f>
        <v>0</v>
      </c>
      <c r="W61" s="186">
        <f>SUMIFS('Plan prihoda za unos u SAP'!$H$3:$H$501,'Plan prihoda za unos u SAP'!$C$3:$C$501,"=81",'Plan prihoda za unos u SAP'!$K$3:$K$501,"=652")</f>
        <v>0</v>
      </c>
    </row>
    <row r="62" spans="1:29" s="90" customFormat="1">
      <c r="A62" s="90">
        <v>2022</v>
      </c>
      <c r="B62" s="95" t="s">
        <v>290</v>
      </c>
      <c r="C62" s="96" t="s">
        <v>291</v>
      </c>
      <c r="D62" s="70">
        <f t="shared" si="12"/>
        <v>715000</v>
      </c>
      <c r="E62" s="186">
        <f>SUMIFS('Plan prihoda za unos u SAP'!$H$3:$H$501,'Plan prihoda za unos u SAP'!$C$3:$C$501,"=11",'Plan prihoda za unos u SAP'!$K$3:$K$501,"=661")</f>
        <v>0</v>
      </c>
      <c r="F62" s="186">
        <f>SUMIFS('Plan prihoda za unos u SAP'!$H$3:$H$501,'Plan prihoda za unos u SAP'!$C$3:$C$501,"=12",'Plan prihoda za unos u SAP'!$K$3:$K$501,"=661")</f>
        <v>0</v>
      </c>
      <c r="G62" s="186">
        <f>SUMIFS('Plan prihoda za unos u SAP'!$H$3:$H$501,'Plan prihoda za unos u SAP'!$C$3:$C$501,"=31",'Plan prihoda za unos u SAP'!$K$3:$K$501,"=661")</f>
        <v>715000</v>
      </c>
      <c r="H62" s="186">
        <f>SUMIFS('Plan prihoda za unos u SAP'!$H$3:$H$501,'Plan prihoda za unos u SAP'!$C$3:$C$501,"=41",'Plan prihoda za unos u SAP'!$K$3:$K$501,"=661")</f>
        <v>0</v>
      </c>
      <c r="I62" s="186">
        <f>SUMIFS('Plan prihoda za unos u SAP'!$H$3:$H$501,'Plan prihoda za unos u SAP'!$C$3:$C$501,"=43",'Plan prihoda za unos u SAP'!$K$3:$K$501,"=661")</f>
        <v>0</v>
      </c>
      <c r="J62" s="186">
        <f>SUMIFS('Plan prihoda za unos u SAP'!$H$3:$H$501,'Plan prihoda za unos u SAP'!$C$3:$C$501,"=51",'Plan prihoda za unos u SAP'!$K$3:$K$501,"=661")</f>
        <v>0</v>
      </c>
      <c r="K62" s="186">
        <f>SUMIFS('Plan prihoda za unos u SAP'!$H$3:$H$501,'Plan prihoda za unos u SAP'!$C$3:$C$501,"=52",'Plan prihoda za unos u SAP'!$K$3:$K$501,"=661")</f>
        <v>0</v>
      </c>
      <c r="L62" s="186">
        <f>SUMIFS('Plan prihoda za unos u SAP'!$H$3:$H$501,'Plan prihoda za unos u SAP'!$C$3:$C$501,"=552",'Plan prihoda za unos u SAP'!$K$3:$K$501,"=661")</f>
        <v>0</v>
      </c>
      <c r="M62" s="186">
        <f>SUMIFS('Plan prihoda za unos u SAP'!$H$3:$H$501,'Plan prihoda za unos u SAP'!$C$3:$C$501,"=559",'Plan prihoda za unos u SAP'!$K$3:$K$501,"=661")</f>
        <v>0</v>
      </c>
      <c r="N62" s="186">
        <f>SUMIFS('Plan prihoda za unos u SAP'!$H$3:$H$501,'Plan prihoda za unos u SAP'!$C$3:$C$501,"=561",'Plan prihoda za unos u SAP'!$K$3:$K$501,"=661")</f>
        <v>0</v>
      </c>
      <c r="O62" s="186">
        <f>SUMIFS('Plan prihoda za unos u SAP'!$H$3:$H$501,'Plan prihoda za unos u SAP'!$C$3:$C$501,"=563",'Plan prihoda za unos u SAP'!$K$3:$K$501,"=661")</f>
        <v>0</v>
      </c>
      <c r="P62" s="186">
        <f>SUMIFS('Plan prihoda za unos u SAP'!$H$3:$H$501,'Plan prihoda za unos u SAP'!$C$3:$C$501,"=573",'Plan prihoda za unos u SAP'!$K$3:$K$501,"=661")</f>
        <v>0</v>
      </c>
      <c r="Q62" s="186">
        <f>SUMIFS('Plan prihoda za unos u SAP'!$H$3:$H$501,'Plan prihoda za unos u SAP'!$C$3:$C$501,"=575",'Plan prihoda za unos u SAP'!$K$3:$K$501,"=661")</f>
        <v>0</v>
      </c>
      <c r="R62" s="186">
        <f>SUMIFS('Plan prihoda za unos u SAP'!$H$3:$H$501,'Plan prihoda za unos u SAP'!$C$3:$C$501,"=576",'Plan prihoda za unos u SAP'!$K$3:$K$501,"=661")</f>
        <v>0</v>
      </c>
      <c r="S62" s="186">
        <f>SUMIFS('Plan prihoda za unos u SAP'!$H$3:$H$501,'Plan prihoda za unos u SAP'!$C$3:$C$501,"=581",'Plan prihoda za unos u SAP'!$K$3:$K$501,"=661")</f>
        <v>0</v>
      </c>
      <c r="T62" s="186">
        <f>SUMIFS('Plan prihoda za unos u SAP'!$H$3:$H$501,'Plan prihoda za unos u SAP'!$C$3:$C$501,"=61",'Plan prihoda za unos u SAP'!$K$3:$K$501,"=661")</f>
        <v>0</v>
      </c>
      <c r="U62" s="186">
        <f>SUMIFS('Plan prihoda za unos u SAP'!$H$3:$H$501,'Plan prihoda za unos u SAP'!$C$3:$C$501,"=63",'Plan prihoda za unos u SAP'!$K$3:$K$501,"=661")</f>
        <v>0</v>
      </c>
      <c r="V62" s="186">
        <f>SUMIFS('Plan prihoda za unos u SAP'!$H$3:$H$501,'Plan prihoda za unos u SAP'!$C$3:$C$501,"=71",'Plan prihoda za unos u SAP'!$K$3:$K$501,"=661")</f>
        <v>0</v>
      </c>
      <c r="W62" s="186">
        <f>SUMIFS('Plan prihoda za unos u SAP'!$H$3:$H$501,'Plan prihoda za unos u SAP'!$C$3:$C$501,"=81",'Plan prihoda za unos u SAP'!$K$3:$K$501,"=661")</f>
        <v>0</v>
      </c>
    </row>
    <row r="63" spans="1:29" s="90" customFormat="1">
      <c r="A63" s="90">
        <v>2022</v>
      </c>
      <c r="B63" s="95" t="s">
        <v>292</v>
      </c>
      <c r="C63" s="96" t="s">
        <v>293</v>
      </c>
      <c r="D63" s="70">
        <f t="shared" si="12"/>
        <v>180500</v>
      </c>
      <c r="E63" s="186">
        <f>SUMIFS('Plan prihoda za unos u SAP'!$H$3:$H$501,'Plan prihoda za unos u SAP'!$C$3:$C$501,"=11",'Plan prihoda za unos u SAP'!$K$3:$K$501,"=663")</f>
        <v>0</v>
      </c>
      <c r="F63" s="186">
        <f>SUMIFS('Plan prihoda za unos u SAP'!$H$3:$H$501,'Plan prihoda za unos u SAP'!$C$3:$C$501,"=12",'Plan prihoda za unos u SAP'!$K$3:$K$501,"=663")</f>
        <v>0</v>
      </c>
      <c r="G63" s="186">
        <f>SUMIFS('Plan prihoda za unos u SAP'!$H$3:$H$501,'Plan prihoda za unos u SAP'!$C$3:$C$501,"=31",'Plan prihoda za unos u SAP'!$K$3:$K$501,"=663")</f>
        <v>0</v>
      </c>
      <c r="H63" s="186">
        <f>SUMIFS('Plan prihoda za unos u SAP'!$H$3:$H$501,'Plan prihoda za unos u SAP'!$C$3:$C$501,"=41",'Plan prihoda za unos u SAP'!$K$3:$K$501,"=663")</f>
        <v>0</v>
      </c>
      <c r="I63" s="186">
        <f>SUMIFS('Plan prihoda za unos u SAP'!$H$3:$H$501,'Plan prihoda za unos u SAP'!$C$3:$C$501,"=43",'Plan prihoda za unos u SAP'!$K$3:$K$501,"=663")</f>
        <v>0</v>
      </c>
      <c r="J63" s="186">
        <f>SUMIFS('Plan prihoda za unos u SAP'!$H$3:$H$501,'Plan prihoda za unos u SAP'!$C$3:$C$501,"=51",'Plan prihoda za unos u SAP'!$K$3:$K$501,"=663")</f>
        <v>0</v>
      </c>
      <c r="K63" s="186">
        <f>SUMIFS('Plan prihoda za unos u SAP'!$H$3:$H$501,'Plan prihoda za unos u SAP'!$C$3:$C$501,"=52",'Plan prihoda za unos u SAP'!$K$3:$K$501,"=663")</f>
        <v>0</v>
      </c>
      <c r="L63" s="186">
        <f>SUMIFS('Plan prihoda za unos u SAP'!$H$3:$H$501,'Plan prihoda za unos u SAP'!$C$3:$C$501,"=552",'Plan prihoda za unos u SAP'!$K$3:$K$501,"=663")</f>
        <v>0</v>
      </c>
      <c r="M63" s="186">
        <f>SUMIFS('Plan prihoda za unos u SAP'!$H$3:$H$501,'Plan prihoda za unos u SAP'!$C$3:$C$501,"=559",'Plan prihoda za unos u SAP'!$K$3:$K$501,"=663")</f>
        <v>0</v>
      </c>
      <c r="N63" s="186">
        <f>SUMIFS('Plan prihoda za unos u SAP'!$H$3:$H$501,'Plan prihoda za unos u SAP'!$C$3:$C$501,"=561",'Plan prihoda za unos u SAP'!$K$3:$K$501,"=663")</f>
        <v>0</v>
      </c>
      <c r="O63" s="186">
        <f>SUMIFS('Plan prihoda za unos u SAP'!$H$3:$H$501,'Plan prihoda za unos u SAP'!$C$3:$C$501,"=563",'Plan prihoda za unos u SAP'!$K$3:$K$501,"=663")</f>
        <v>0</v>
      </c>
      <c r="P63" s="186">
        <f>SUMIFS('Plan prihoda za unos u SAP'!$H$3:$H$501,'Plan prihoda za unos u SAP'!$C$3:$C$501,"=573",'Plan prihoda za unos u SAP'!$K$3:$K$501,"=663")</f>
        <v>0</v>
      </c>
      <c r="Q63" s="186">
        <f>SUMIFS('Plan prihoda za unos u SAP'!$H$3:$H$501,'Plan prihoda za unos u SAP'!$C$3:$C$501,"=575",'Plan prihoda za unos u SAP'!$K$3:$K$501,"=663")</f>
        <v>0</v>
      </c>
      <c r="R63" s="186">
        <f>SUMIFS('Plan prihoda za unos u SAP'!$H$3:$H$501,'Plan prihoda za unos u SAP'!$C$3:$C$501,"=576",'Plan prihoda za unos u SAP'!$K$3:$K$501,"=663")</f>
        <v>0</v>
      </c>
      <c r="S63" s="186">
        <f>SUMIFS('Plan prihoda za unos u SAP'!$H$3:$H$501,'Plan prihoda za unos u SAP'!$C$3:$C$501,"=581",'Plan prihoda za unos u SAP'!$K$3:$K$501,"=663")</f>
        <v>0</v>
      </c>
      <c r="T63" s="186">
        <f>SUMIFS('Plan prihoda za unos u SAP'!$H$3:$H$501,'Plan prihoda za unos u SAP'!$C$3:$C$501,"=61",'Plan prihoda za unos u SAP'!$K$3:$K$501,"=663")</f>
        <v>180500</v>
      </c>
      <c r="U63" s="186">
        <f>SUMIFS('Plan prihoda za unos u SAP'!$H$3:$H$501,'Plan prihoda za unos u SAP'!$C$3:$C$501,"=63",'Plan prihoda za unos u SAP'!$K$3:$K$501,"=663")</f>
        <v>0</v>
      </c>
      <c r="V63" s="186">
        <f>SUMIFS('Plan prihoda za unos u SAP'!$H$3:$H$501,'Plan prihoda za unos u SAP'!$C$3:$C$501,"=71",'Plan prihoda za unos u SAP'!$K$3:$K$501,"=663")</f>
        <v>0</v>
      </c>
      <c r="W63" s="186">
        <f>SUMIFS('Plan prihoda za unos u SAP'!$H$3:$H$501,'Plan prihoda za unos u SAP'!$C$3:$C$501,"=81",'Plan prihoda za unos u SAP'!$K$3:$K$501,"=663")</f>
        <v>0</v>
      </c>
    </row>
    <row r="64" spans="1:29" s="90" customFormat="1" ht="25.5">
      <c r="A64" s="90">
        <v>2022</v>
      </c>
      <c r="B64" s="95" t="s">
        <v>294</v>
      </c>
      <c r="C64" s="96" t="s">
        <v>254</v>
      </c>
      <c r="D64" s="70">
        <f t="shared" si="12"/>
        <v>19803159</v>
      </c>
      <c r="E64" s="186">
        <f>SUMIFS('Plan prihoda za unos u SAP'!$H$3:$H$501,'Plan prihoda za unos u SAP'!$C$3:$C$501,"=11",'Plan prihoda za unos u SAP'!$K$3:$K$501,"=671")</f>
        <v>19803159</v>
      </c>
      <c r="F64" s="186">
        <f>SUMIFS('Plan prihoda za unos u SAP'!$H$3:$H$501,'Plan prihoda za unos u SAP'!$C$3:$C$501,"=12",'Plan prihoda za unos u SAP'!$K$3:$K$501,"=671")</f>
        <v>0</v>
      </c>
      <c r="G64" s="186">
        <f>SUMIFS('Plan prihoda za unos u SAP'!$H$3:$H$501,'Plan prihoda za unos u SAP'!$C$3:$C$501,"=31",'Plan prihoda za unos u SAP'!$K$3:$K$501,"=671")</f>
        <v>0</v>
      </c>
      <c r="H64" s="186">
        <f>SUMIFS('Plan prihoda za unos u SAP'!$H$3:$H$501,'Plan prihoda za unos u SAP'!$C$3:$C$501,"=41",'Plan prihoda za unos u SAP'!$K$3:$K$501,"=671")</f>
        <v>0</v>
      </c>
      <c r="I64" s="186">
        <f>SUMIFS('Plan prihoda za unos u SAP'!$H$3:$H$501,'Plan prihoda za unos u SAP'!$C$3:$C$501,"=43",'Plan prihoda za unos u SAP'!$K$3:$K$501,"=671")</f>
        <v>0</v>
      </c>
      <c r="J64" s="186">
        <f>SUMIFS('Plan prihoda za unos u SAP'!$H$3:$H$501,'Plan prihoda za unos u SAP'!$C$3:$C$501,"=51",'Plan prihoda za unos u SAP'!$K$3:$K$501,"=671")</f>
        <v>0</v>
      </c>
      <c r="K64" s="186">
        <f>SUMIFS('Plan prihoda za unos u SAP'!$H$3:$H$501,'Plan prihoda za unos u SAP'!$C$3:$C$501,"=52",'Plan prihoda za unos u SAP'!$K$3:$K$501,"=671")</f>
        <v>0</v>
      </c>
      <c r="L64" s="186">
        <f>SUMIFS('Plan prihoda za unos u SAP'!$H$3:$H$501,'Plan prihoda za unos u SAP'!$C$3:$C$501,"=552",'Plan prihoda za unos u SAP'!$K$3:$K$501,"=671")</f>
        <v>0</v>
      </c>
      <c r="M64" s="186">
        <f>SUMIFS('Plan prihoda za unos u SAP'!$H$3:$H$501,'Plan prihoda za unos u SAP'!$C$3:$C$501,"=559",'Plan prihoda za unos u SAP'!$K$3:$K$501,"=671")</f>
        <v>0</v>
      </c>
      <c r="N64" s="186">
        <f>SUMIFS('Plan prihoda za unos u SAP'!$H$3:$H$501,'Plan prihoda za unos u SAP'!$C$3:$C$501,"=561",'Plan prihoda za unos u SAP'!$K$3:$K$501,"=671")</f>
        <v>0</v>
      </c>
      <c r="O64" s="186">
        <f>SUMIFS('Plan prihoda za unos u SAP'!$H$3:$H$501,'Plan prihoda za unos u SAP'!$C$3:$C$501,"=563",'Plan prihoda za unos u SAP'!$K$3:$K$501,"=671")</f>
        <v>0</v>
      </c>
      <c r="P64" s="186">
        <f>SUMIFS('Plan prihoda za unos u SAP'!$H$3:$H$501,'Plan prihoda za unos u SAP'!$C$3:$C$501,"=573",'Plan prihoda za unos u SAP'!$K$3:$K$501,"=671")</f>
        <v>0</v>
      </c>
      <c r="Q64" s="186">
        <f>SUMIFS('Plan prihoda za unos u SAP'!$H$3:$H$501,'Plan prihoda za unos u SAP'!$C$3:$C$501,"=575",'Plan prihoda za unos u SAP'!$K$3:$K$501,"=671")</f>
        <v>0</v>
      </c>
      <c r="R64" s="186">
        <f>SUMIFS('Plan prihoda za unos u SAP'!$H$3:$H$501,'Plan prihoda za unos u SAP'!$C$3:$C$501,"=576",'Plan prihoda za unos u SAP'!$K$3:$K$501,"=671")</f>
        <v>0</v>
      </c>
      <c r="S64" s="186">
        <f>SUMIFS('Plan prihoda za unos u SAP'!$H$3:$H$501,'Plan prihoda za unos u SAP'!$C$3:$C$501,"=581",'Plan prihoda za unos u SAP'!$K$3:$K$501,"=671")</f>
        <v>0</v>
      </c>
      <c r="T64" s="186">
        <f>SUMIFS('Plan prihoda za unos u SAP'!$H$3:$H$501,'Plan prihoda za unos u SAP'!$C$3:$C$501,"=61",'Plan prihoda za unos u SAP'!$K$3:$K$501,"=671")</f>
        <v>0</v>
      </c>
      <c r="U64" s="186">
        <f>SUMIFS('Plan prihoda za unos u SAP'!$H$3:$H$501,'Plan prihoda za unos u SAP'!$C$3:$C$501,"=63",'Plan prihoda za unos u SAP'!$K$3:$K$501,"=671")</f>
        <v>0</v>
      </c>
      <c r="V64" s="186">
        <f>SUMIFS('Plan prihoda za unos u SAP'!$H$3:$H$501,'Plan prihoda za unos u SAP'!$C$3:$C$501,"=71",'Plan prihoda za unos u SAP'!$K$3:$K$501,"=671")</f>
        <v>0</v>
      </c>
      <c r="W64" s="186">
        <f>SUMIFS('Plan prihoda za unos u SAP'!$H$3:$H$501,'Plan prihoda za unos u SAP'!$C$3:$C$501,"=81",'Plan prihoda za unos u SAP'!$K$3:$K$501,"=671")</f>
        <v>0</v>
      </c>
    </row>
    <row r="65" spans="1:23" s="90" customFormat="1">
      <c r="A65" s="90">
        <v>2022</v>
      </c>
      <c r="B65" s="95" t="s">
        <v>295</v>
      </c>
      <c r="C65" s="96" t="s">
        <v>296</v>
      </c>
      <c r="D65" s="70">
        <f t="shared" si="12"/>
        <v>0</v>
      </c>
      <c r="E65" s="186">
        <f>SUMIFS('Plan prihoda za unos u SAP'!$H$3:$H$501,'Plan prihoda za unos u SAP'!$C$3:$C$501,"=11",'Plan prihoda za unos u SAP'!$K$3:$K$501,"=681")</f>
        <v>0</v>
      </c>
      <c r="F65" s="186">
        <f>SUMIFS('Plan prihoda za unos u SAP'!$H$3:$H$501,'Plan prihoda za unos u SAP'!$C$3:$C$501,"=12",'Plan prihoda za unos u SAP'!$K$3:$K$501,"=681")</f>
        <v>0</v>
      </c>
      <c r="G65" s="186">
        <f>SUMIFS('Plan prihoda za unos u SAP'!$H$3:$H$501,'Plan prihoda za unos u SAP'!$C$3:$C$501,"=31",'Plan prihoda za unos u SAP'!$K$3:$K$501,"=681")</f>
        <v>0</v>
      </c>
      <c r="H65" s="186">
        <f>SUMIFS('Plan prihoda za unos u SAP'!$H$3:$H$501,'Plan prihoda za unos u SAP'!$C$3:$C$501,"=41",'Plan prihoda za unos u SAP'!$K$3:$K$501,"=681")</f>
        <v>0</v>
      </c>
      <c r="I65" s="186">
        <f>SUMIFS('Plan prihoda za unos u SAP'!$H$3:$H$501,'Plan prihoda za unos u SAP'!$C$3:$C$501,"=43",'Plan prihoda za unos u SAP'!$K$3:$K$501,"=681")</f>
        <v>0</v>
      </c>
      <c r="J65" s="186">
        <f>SUMIFS('Plan prihoda za unos u SAP'!$H$3:$H$501,'Plan prihoda za unos u SAP'!$C$3:$C$501,"=51",'Plan prihoda za unos u SAP'!$K$3:$K$501,"=681")</f>
        <v>0</v>
      </c>
      <c r="K65" s="186">
        <f>SUMIFS('Plan prihoda za unos u SAP'!$H$3:$H$501,'Plan prihoda za unos u SAP'!$C$3:$C$501,"=52",'Plan prihoda za unos u SAP'!$K$3:$K$501,"=681")</f>
        <v>0</v>
      </c>
      <c r="L65" s="186">
        <f>SUMIFS('Plan prihoda za unos u SAP'!$H$3:$H$501,'Plan prihoda za unos u SAP'!$C$3:$C$501,"=552",'Plan prihoda za unos u SAP'!$K$3:$K$501,"=681")</f>
        <v>0</v>
      </c>
      <c r="M65" s="186">
        <f>SUMIFS('Plan prihoda za unos u SAP'!$H$3:$H$501,'Plan prihoda za unos u SAP'!$C$3:$C$501,"=559",'Plan prihoda za unos u SAP'!$K$3:$K$501,"=681")</f>
        <v>0</v>
      </c>
      <c r="N65" s="186">
        <f>SUMIFS('Plan prihoda za unos u SAP'!$H$3:$H$501,'Plan prihoda za unos u SAP'!$C$3:$C$501,"=561",'Plan prihoda za unos u SAP'!$K$3:$K$501,"=681")</f>
        <v>0</v>
      </c>
      <c r="O65" s="186">
        <f>SUMIFS('Plan prihoda za unos u SAP'!$H$3:$H$501,'Plan prihoda za unos u SAP'!$C$3:$C$501,"=563",'Plan prihoda za unos u SAP'!$K$3:$K$501,"=681")</f>
        <v>0</v>
      </c>
      <c r="P65" s="186">
        <f>SUMIFS('Plan prihoda za unos u SAP'!$H$3:$H$501,'Plan prihoda za unos u SAP'!$C$3:$C$501,"=573",'Plan prihoda za unos u SAP'!$K$3:$K$501,"=681")</f>
        <v>0</v>
      </c>
      <c r="Q65" s="186">
        <f>SUMIFS('Plan prihoda za unos u SAP'!$H$3:$H$501,'Plan prihoda za unos u SAP'!$C$3:$C$501,"=575",'Plan prihoda za unos u SAP'!$K$3:$K$501,"=681")</f>
        <v>0</v>
      </c>
      <c r="R65" s="186">
        <f>SUMIFS('Plan prihoda za unos u SAP'!$H$3:$H$501,'Plan prihoda za unos u SAP'!$C$3:$C$501,"=576",'Plan prihoda za unos u SAP'!$K$3:$K$501,"=681")</f>
        <v>0</v>
      </c>
      <c r="S65" s="186">
        <f>SUMIFS('Plan prihoda za unos u SAP'!$H$3:$H$501,'Plan prihoda za unos u SAP'!$C$3:$C$501,"=581",'Plan prihoda za unos u SAP'!$K$3:$K$501,"=681")</f>
        <v>0</v>
      </c>
      <c r="T65" s="186">
        <f>SUMIFS('Plan prihoda za unos u SAP'!$H$3:$H$501,'Plan prihoda za unos u SAP'!$C$3:$C$501,"=61",'Plan prihoda za unos u SAP'!$K$3:$K$501,"=681")</f>
        <v>0</v>
      </c>
      <c r="U65" s="186">
        <f>SUMIFS('Plan prihoda za unos u SAP'!$H$3:$H$501,'Plan prihoda za unos u SAP'!$C$3:$C$501,"=63",'Plan prihoda za unos u SAP'!$K$3:$K$501,"=681")</f>
        <v>0</v>
      </c>
      <c r="V65" s="186">
        <f>SUMIFS('Plan prihoda za unos u SAP'!$H$3:$H$501,'Plan prihoda za unos u SAP'!$C$3:$C$501,"=71",'Plan prihoda za unos u SAP'!$K$3:$K$501,"=681")</f>
        <v>0</v>
      </c>
      <c r="W65" s="186">
        <f>SUMIFS('Plan prihoda za unos u SAP'!$H$3:$H$501,'Plan prihoda za unos u SAP'!$C$3:$C$501,"=81",'Plan prihoda za unos u SAP'!$K$3:$K$501,"=681")</f>
        <v>0</v>
      </c>
    </row>
    <row r="66" spans="1:23" s="90" customFormat="1">
      <c r="A66" s="90">
        <v>2022</v>
      </c>
      <c r="B66" s="95" t="s">
        <v>297</v>
      </c>
      <c r="C66" s="96" t="s">
        <v>298</v>
      </c>
      <c r="D66" s="70">
        <f t="shared" si="12"/>
        <v>0</v>
      </c>
      <c r="E66" s="186">
        <f>SUMIFS('Plan prihoda za unos u SAP'!$H$3:$H$501,'Plan prihoda za unos u SAP'!$C$3:$C$501,"=11",'Plan prihoda za unos u SAP'!$K$3:$K$501,"=683")</f>
        <v>0</v>
      </c>
      <c r="F66" s="186">
        <f>SUMIFS('Plan prihoda za unos u SAP'!$H$3:$H$501,'Plan prihoda za unos u SAP'!$C$3:$C$501,"=12",'Plan prihoda za unos u SAP'!$K$3:$K$501,"=683")</f>
        <v>0</v>
      </c>
      <c r="G66" s="186">
        <f>SUMIFS('Plan prihoda za unos u SAP'!$H$3:$H$501,'Plan prihoda za unos u SAP'!$C$3:$C$501,"=31",'Plan prihoda za unos u SAP'!$K$3:$K$501,"=683")</f>
        <v>0</v>
      </c>
      <c r="H66" s="186">
        <f>SUMIFS('Plan prihoda za unos u SAP'!$H$3:$H$501,'Plan prihoda za unos u SAP'!$C$3:$C$501,"=41",'Plan prihoda za unos u SAP'!$K$3:$K$501,"=683")</f>
        <v>0</v>
      </c>
      <c r="I66" s="186">
        <f>SUMIFS('Plan prihoda za unos u SAP'!$H$3:$H$501,'Plan prihoda za unos u SAP'!$C$3:$C$501,"=43",'Plan prihoda za unos u SAP'!$K$3:$K$501,"=683")</f>
        <v>0</v>
      </c>
      <c r="J66" s="186">
        <f>SUMIFS('Plan prihoda za unos u SAP'!$H$3:$H$501,'Plan prihoda za unos u SAP'!$C$3:$C$501,"=51",'Plan prihoda za unos u SAP'!$K$3:$K$501,"=683")</f>
        <v>0</v>
      </c>
      <c r="K66" s="186">
        <f>SUMIFS('Plan prihoda za unos u SAP'!$H$3:$H$501,'Plan prihoda za unos u SAP'!$C$3:$C$501,"=52",'Plan prihoda za unos u SAP'!$K$3:$K$501,"=683")</f>
        <v>0</v>
      </c>
      <c r="L66" s="186">
        <f>SUMIFS('Plan prihoda za unos u SAP'!$H$3:$H$501,'Plan prihoda za unos u SAP'!$C$3:$C$501,"=552",'Plan prihoda za unos u SAP'!$K$3:$K$501,"=683")</f>
        <v>0</v>
      </c>
      <c r="M66" s="186">
        <f>SUMIFS('Plan prihoda za unos u SAP'!$H$3:$H$501,'Plan prihoda za unos u SAP'!$C$3:$C$501,"=559",'Plan prihoda za unos u SAP'!$K$3:$K$501,"=683")</f>
        <v>0</v>
      </c>
      <c r="N66" s="186">
        <f>SUMIFS('Plan prihoda za unos u SAP'!$H$3:$H$501,'Plan prihoda za unos u SAP'!$C$3:$C$501,"=561",'Plan prihoda za unos u SAP'!$K$3:$K$501,"=683")</f>
        <v>0</v>
      </c>
      <c r="O66" s="186">
        <f>SUMIFS('Plan prihoda za unos u SAP'!$H$3:$H$501,'Plan prihoda za unos u SAP'!$C$3:$C$501,"=563",'Plan prihoda za unos u SAP'!$K$3:$K$501,"=683")</f>
        <v>0</v>
      </c>
      <c r="P66" s="186">
        <f>SUMIFS('Plan prihoda za unos u SAP'!$H$3:$H$501,'Plan prihoda za unos u SAP'!$C$3:$C$501,"=573",'Plan prihoda za unos u SAP'!$K$3:$K$501,"=683")</f>
        <v>0</v>
      </c>
      <c r="Q66" s="186">
        <f>SUMIFS('Plan prihoda za unos u SAP'!$H$3:$H$501,'Plan prihoda za unos u SAP'!$C$3:$C$501,"=575",'Plan prihoda za unos u SAP'!$K$3:$K$501,"=683")</f>
        <v>0</v>
      </c>
      <c r="R66" s="186">
        <f>SUMIFS('Plan prihoda za unos u SAP'!$H$3:$H$501,'Plan prihoda za unos u SAP'!$C$3:$C$501,"=576",'Plan prihoda za unos u SAP'!$K$3:$K$501,"=683")</f>
        <v>0</v>
      </c>
      <c r="S66" s="186">
        <f>SUMIFS('Plan prihoda za unos u SAP'!$H$3:$H$501,'Plan prihoda za unos u SAP'!$C$3:$C$501,"=581",'Plan prihoda za unos u SAP'!$K$3:$K$501,"=683")</f>
        <v>0</v>
      </c>
      <c r="T66" s="186">
        <f>SUMIFS('Plan prihoda za unos u SAP'!$H$3:$H$501,'Plan prihoda za unos u SAP'!$C$3:$C$501,"=61",'Plan prihoda za unos u SAP'!$K$3:$K$501,"=683")</f>
        <v>0</v>
      </c>
      <c r="U66" s="186">
        <f>SUMIFS('Plan prihoda za unos u SAP'!$H$3:$H$501,'Plan prihoda za unos u SAP'!$C$3:$C$501,"=63",'Plan prihoda za unos u SAP'!$K$3:$K$501,"=683")</f>
        <v>0</v>
      </c>
      <c r="V66" s="186">
        <f>SUMIFS('Plan prihoda za unos u SAP'!$H$3:$H$501,'Plan prihoda za unos u SAP'!$C$3:$C$501,"=71",'Plan prihoda za unos u SAP'!$K$3:$K$501,"=683")</f>
        <v>0</v>
      </c>
      <c r="W66" s="186">
        <f>SUMIFS('Plan prihoda za unos u SAP'!$H$3:$H$501,'Plan prihoda za unos u SAP'!$C$3:$C$501,"=81",'Plan prihoda za unos u SAP'!$K$3:$K$501,"=683")</f>
        <v>0</v>
      </c>
    </row>
    <row r="67" spans="1:23" s="90" customFormat="1">
      <c r="A67" s="90">
        <v>2022</v>
      </c>
      <c r="B67" s="98" t="s">
        <v>299</v>
      </c>
      <c r="C67" s="99" t="s">
        <v>300</v>
      </c>
      <c r="D67" s="70">
        <f t="shared" si="12"/>
        <v>35189635</v>
      </c>
      <c r="E67" s="4">
        <f>SUM(E51:E66)</f>
        <v>19803159</v>
      </c>
      <c r="F67" s="4">
        <f t="shared" ref="F67:W67" si="17">SUM(F51:F66)</f>
        <v>0</v>
      </c>
      <c r="G67" s="4">
        <f t="shared" si="17"/>
        <v>719000</v>
      </c>
      <c r="H67" s="4">
        <f t="shared" si="17"/>
        <v>0</v>
      </c>
      <c r="I67" s="4">
        <f t="shared" si="17"/>
        <v>13843500</v>
      </c>
      <c r="J67" s="4">
        <f>SUM(J51:J66)</f>
        <v>65000</v>
      </c>
      <c r="K67" s="4">
        <f t="shared" si="17"/>
        <v>578476</v>
      </c>
      <c r="L67" s="4">
        <f t="shared" si="17"/>
        <v>0</v>
      </c>
      <c r="M67" s="4">
        <f t="shared" si="17"/>
        <v>0</v>
      </c>
      <c r="N67" s="4">
        <f t="shared" si="17"/>
        <v>0</v>
      </c>
      <c r="O67" s="4">
        <f t="shared" si="17"/>
        <v>0</v>
      </c>
      <c r="P67" s="4">
        <f t="shared" si="17"/>
        <v>0</v>
      </c>
      <c r="Q67" s="4">
        <f t="shared" si="17"/>
        <v>0</v>
      </c>
      <c r="R67" s="4">
        <f t="shared" ref="R67" si="18">SUM(R51:R66)</f>
        <v>0</v>
      </c>
      <c r="S67" s="4">
        <f>SUM(S51:S66)</f>
        <v>0</v>
      </c>
      <c r="T67" s="4">
        <f t="shared" si="17"/>
        <v>180500</v>
      </c>
      <c r="U67" s="4">
        <f t="shared" si="17"/>
        <v>0</v>
      </c>
      <c r="V67" s="4">
        <f t="shared" si="17"/>
        <v>0</v>
      </c>
      <c r="W67" s="4">
        <f t="shared" si="17"/>
        <v>0</v>
      </c>
    </row>
    <row r="68" spans="1:23" s="90" customFormat="1">
      <c r="A68" s="90">
        <v>2022</v>
      </c>
      <c r="B68" s="95" t="s">
        <v>311</v>
      </c>
      <c r="C68" s="100" t="s">
        <v>312</v>
      </c>
      <c r="D68" s="70">
        <f t="shared" si="12"/>
        <v>0</v>
      </c>
      <c r="E68" s="186">
        <f>SUMIFS('Plan prihoda za unos u SAP'!$H$3:$H$501,'Plan prihoda za unos u SAP'!$C$3:$C$501,"=11",'Plan prihoda za unos u SAP'!$K$3:$K$501,"=711")</f>
        <v>0</v>
      </c>
      <c r="F68" s="186">
        <f>SUMIFS('Plan prihoda za unos u SAP'!$H$3:$H$501,'Plan prihoda za unos u SAP'!$C$3:$C$501,"=12",'Plan prihoda za unos u SAP'!$K$3:$K$501,"=711")</f>
        <v>0</v>
      </c>
      <c r="G68" s="186">
        <f>SUMIFS('Plan prihoda za unos u SAP'!$H$3:$H$501,'Plan prihoda za unos u SAP'!$C$3:$C$501,"=31",'Plan prihoda za unos u SAP'!$K$3:$K$501,"=711")</f>
        <v>0</v>
      </c>
      <c r="H68" s="186">
        <f>SUMIFS('Plan prihoda za unos u SAP'!$H$3:$H$501,'Plan prihoda za unos u SAP'!$C$3:$C$501,"=41",'Plan prihoda za unos u SAP'!$K$3:$K$501,"=711")</f>
        <v>0</v>
      </c>
      <c r="I68" s="186">
        <f>SUMIFS('Plan prihoda za unos u SAP'!$H$3:$H$501,'Plan prihoda za unos u SAP'!$C$3:$C$501,"=43",'Plan prihoda za unos u SAP'!$K$3:$K$501,"=711")</f>
        <v>0</v>
      </c>
      <c r="J68" s="186">
        <f>SUMIFS('Plan prihoda za unos u SAP'!$H$3:$H$501,'Plan prihoda za unos u SAP'!$C$3:$C$501,"=51",'Plan prihoda za unos u SAP'!$K$3:$K$501,"=711")</f>
        <v>0</v>
      </c>
      <c r="K68" s="186">
        <f>SUMIFS('Plan prihoda za unos u SAP'!$H$3:$H$501,'Plan prihoda za unos u SAP'!$C$3:$C$501,"=52",'Plan prihoda za unos u SAP'!$K$3:$K$501,"=711")</f>
        <v>0</v>
      </c>
      <c r="L68" s="186">
        <f>SUMIFS('Plan prihoda za unos u SAP'!$H$3:$H$501,'Plan prihoda za unos u SAP'!$C$3:$C$501,"=552",'Plan prihoda za unos u SAP'!$K$3:$K$501,"=711")</f>
        <v>0</v>
      </c>
      <c r="M68" s="186">
        <f>SUMIFS('Plan prihoda za unos u SAP'!$H$3:$H$501,'Plan prihoda za unos u SAP'!$C$3:$C$501,"=559",'Plan prihoda za unos u SAP'!$K$3:$K$501,"=711")</f>
        <v>0</v>
      </c>
      <c r="N68" s="186">
        <f>SUMIFS('Plan prihoda za unos u SAP'!$H$3:$H$501,'Plan prihoda za unos u SAP'!$C$3:$C$501,"=561",'Plan prihoda za unos u SAP'!$K$3:$K$501,"=711")</f>
        <v>0</v>
      </c>
      <c r="O68" s="186">
        <f>SUMIFS('Plan prihoda za unos u SAP'!$H$3:$H$501,'Plan prihoda za unos u SAP'!$C$3:$C$501,"=563",'Plan prihoda za unos u SAP'!$K$3:$K$501,"=711")</f>
        <v>0</v>
      </c>
      <c r="P68" s="186">
        <f>SUMIFS('Plan prihoda za unos u SAP'!$H$3:$H$501,'Plan prihoda za unos u SAP'!$C$3:$C$501,"=573",'Plan prihoda za unos u SAP'!$K$3:$K$501,"=711")</f>
        <v>0</v>
      </c>
      <c r="Q68" s="186">
        <f>SUMIFS('Plan prihoda za unos u SAP'!$H$3:$H$501,'Plan prihoda za unos u SAP'!$C$3:$C$501,"=575",'Plan prihoda za unos u SAP'!$K$3:$K$501,"=711")</f>
        <v>0</v>
      </c>
      <c r="R68" s="186">
        <f>SUMIFS('Plan prihoda za unos u SAP'!$H$3:$H$501,'Plan prihoda za unos u SAP'!$C$3:$C$501,"=576",'Plan prihoda za unos u SAP'!$K$3:$K$501,"=711")</f>
        <v>0</v>
      </c>
      <c r="S68" s="186">
        <f>SUMIFS('Plan prihoda za unos u SAP'!$H$3:$H$501,'Plan prihoda za unos u SAP'!$C$3:$C$501,"=581",'Plan prihoda za unos u SAP'!$K$3:$K$501,"=711")</f>
        <v>0</v>
      </c>
      <c r="T68" s="186">
        <f>SUMIFS('Plan prihoda za unos u SAP'!$H$3:$H$501,'Plan prihoda za unos u SAP'!$C$3:$C$501,"=61",'Plan prihoda za unos u SAP'!$K$3:$K$501,"=711")</f>
        <v>0</v>
      </c>
      <c r="U68" s="186">
        <f>SUMIFS('Plan prihoda za unos u SAP'!$H$3:$H$501,'Plan prihoda za unos u SAP'!$C$3:$C$501,"=63",'Plan prihoda za unos u SAP'!$K$3:$K$501,"=711")</f>
        <v>0</v>
      </c>
      <c r="V68" s="186">
        <f>SUMIFS('Plan prihoda za unos u SAP'!$H$3:$H$501,'Plan prihoda za unos u SAP'!$C$3:$C$501,"=71",'Plan prihoda za unos u SAP'!$K$3:$K$501,"=711")</f>
        <v>0</v>
      </c>
      <c r="W68" s="186">
        <f>SUMIFS('Plan prihoda za unos u SAP'!$H$3:$H$501,'Plan prihoda za unos u SAP'!$C$3:$C$501,"=81",'Plan prihoda za unos u SAP'!$K$3:$K$501,"=711")</f>
        <v>0</v>
      </c>
    </row>
    <row r="69" spans="1:23" s="90" customFormat="1">
      <c r="A69" s="90">
        <v>2022</v>
      </c>
      <c r="B69" s="95" t="s">
        <v>313</v>
      </c>
      <c r="C69" s="100" t="s">
        <v>314</v>
      </c>
      <c r="D69" s="70">
        <f t="shared" si="12"/>
        <v>0</v>
      </c>
      <c r="E69" s="186">
        <f>SUMIFS('Plan prihoda za unos u SAP'!$H$3:$H$501,'Plan prihoda za unos u SAP'!$C$3:$C$501,"=11",'Plan prihoda za unos u SAP'!$K$3:$K$501,"=712")</f>
        <v>0</v>
      </c>
      <c r="F69" s="186">
        <f>SUMIFS('Plan prihoda za unos u SAP'!$H$3:$H$501,'Plan prihoda za unos u SAP'!$C$3:$C$501,"=12",'Plan prihoda za unos u SAP'!$K$3:$K$501,"=712")</f>
        <v>0</v>
      </c>
      <c r="G69" s="186">
        <f>SUMIFS('Plan prihoda za unos u SAP'!$H$3:$H$501,'Plan prihoda za unos u SAP'!$C$3:$C$501,"=31",'Plan prihoda za unos u SAP'!$K$3:$K$501,"=712")</f>
        <v>0</v>
      </c>
      <c r="H69" s="186">
        <f>SUMIFS('Plan prihoda za unos u SAP'!$H$3:$H$501,'Plan prihoda za unos u SAP'!$C$3:$C$501,"=41",'Plan prihoda za unos u SAP'!$K$3:$K$501,"=712")</f>
        <v>0</v>
      </c>
      <c r="I69" s="186">
        <f>SUMIFS('Plan prihoda za unos u SAP'!$H$3:$H$501,'Plan prihoda za unos u SAP'!$C$3:$C$501,"=43",'Plan prihoda za unos u SAP'!$K$3:$K$501,"=712")</f>
        <v>0</v>
      </c>
      <c r="J69" s="186">
        <f>SUMIFS('Plan prihoda za unos u SAP'!$H$3:$H$501,'Plan prihoda za unos u SAP'!$C$3:$C$501,"=51",'Plan prihoda za unos u SAP'!$K$3:$K$501,"=712")</f>
        <v>0</v>
      </c>
      <c r="K69" s="186">
        <f>SUMIFS('Plan prihoda za unos u SAP'!$H$3:$H$501,'Plan prihoda za unos u SAP'!$C$3:$C$501,"=52",'Plan prihoda za unos u SAP'!$K$3:$K$501,"=712")</f>
        <v>0</v>
      </c>
      <c r="L69" s="186">
        <f>SUMIFS('Plan prihoda za unos u SAP'!$H$3:$H$501,'Plan prihoda za unos u SAP'!$C$3:$C$501,"=552",'Plan prihoda za unos u SAP'!$K$3:$K$501,"=712")</f>
        <v>0</v>
      </c>
      <c r="M69" s="186">
        <f>SUMIFS('Plan prihoda za unos u SAP'!$H$3:$H$501,'Plan prihoda za unos u SAP'!$C$3:$C$501,"=559",'Plan prihoda za unos u SAP'!$K$3:$K$501,"=712")</f>
        <v>0</v>
      </c>
      <c r="N69" s="186">
        <f>SUMIFS('Plan prihoda za unos u SAP'!$H$3:$H$501,'Plan prihoda za unos u SAP'!$C$3:$C$501,"=561",'Plan prihoda za unos u SAP'!$K$3:$K$501,"=712")</f>
        <v>0</v>
      </c>
      <c r="O69" s="186">
        <f>SUMIFS('Plan prihoda za unos u SAP'!$H$3:$H$501,'Plan prihoda za unos u SAP'!$C$3:$C$501,"=563",'Plan prihoda za unos u SAP'!$K$3:$K$501,"=712")</f>
        <v>0</v>
      </c>
      <c r="P69" s="186">
        <f>SUMIFS('Plan prihoda za unos u SAP'!$H$3:$H$501,'Plan prihoda za unos u SAP'!$C$3:$C$501,"=573",'Plan prihoda za unos u SAP'!$K$3:$K$501,"=712")</f>
        <v>0</v>
      </c>
      <c r="Q69" s="186">
        <f>SUMIFS('Plan prihoda za unos u SAP'!$H$3:$H$501,'Plan prihoda za unos u SAP'!$C$3:$C$501,"=575",'Plan prihoda za unos u SAP'!$K$3:$K$501,"=712")</f>
        <v>0</v>
      </c>
      <c r="R69" s="186">
        <f>SUMIFS('Plan prihoda za unos u SAP'!$H$3:$H$501,'Plan prihoda za unos u SAP'!$C$3:$C$501,"=576",'Plan prihoda za unos u SAP'!$K$3:$K$501,"=712")</f>
        <v>0</v>
      </c>
      <c r="S69" s="186">
        <f>SUMIFS('Plan prihoda za unos u SAP'!$H$3:$H$501,'Plan prihoda za unos u SAP'!$C$3:$C$501,"=581",'Plan prihoda za unos u SAP'!$K$3:$K$501,"=712")</f>
        <v>0</v>
      </c>
      <c r="T69" s="186">
        <f>SUMIFS('Plan prihoda za unos u SAP'!$H$3:$H$501,'Plan prihoda za unos u SAP'!$C$3:$C$501,"=61",'Plan prihoda za unos u SAP'!$K$3:$K$501,"=712")</f>
        <v>0</v>
      </c>
      <c r="U69" s="186">
        <f>SUMIFS('Plan prihoda za unos u SAP'!$H$3:$H$501,'Plan prihoda za unos u SAP'!$C$3:$C$501,"=63",'Plan prihoda za unos u SAP'!$K$3:$K$501,"=712")</f>
        <v>0</v>
      </c>
      <c r="V69" s="186">
        <f>SUMIFS('Plan prihoda za unos u SAP'!$H$3:$H$501,'Plan prihoda za unos u SAP'!$C$3:$C$501,"=71",'Plan prihoda za unos u SAP'!$K$3:$K$501,"=712")</f>
        <v>0</v>
      </c>
      <c r="W69" s="186">
        <f>SUMIFS('Plan prihoda za unos u SAP'!$H$3:$H$501,'Plan prihoda za unos u SAP'!$C$3:$C$501,"=81",'Plan prihoda za unos u SAP'!$K$3:$K$501,"=712")</f>
        <v>0</v>
      </c>
    </row>
    <row r="70" spans="1:23" s="90" customFormat="1">
      <c r="A70" s="90">
        <v>2022</v>
      </c>
      <c r="B70" s="95" t="s">
        <v>301</v>
      </c>
      <c r="C70" s="100" t="s">
        <v>302</v>
      </c>
      <c r="D70" s="70">
        <f t="shared" si="12"/>
        <v>2000</v>
      </c>
      <c r="E70" s="186">
        <f>SUMIFS('Plan prihoda za unos u SAP'!$H$3:$H$501,'Plan prihoda za unos u SAP'!$C$3:$C$501,"=11",'Plan prihoda za unos u SAP'!$K$3:$K$501,"=721")</f>
        <v>0</v>
      </c>
      <c r="F70" s="186">
        <f>SUMIFS('Plan prihoda za unos u SAP'!$H$3:$H$501,'Plan prihoda za unos u SAP'!$C$3:$C$501,"=12",'Plan prihoda za unos u SAP'!$K$3:$K$501,"=721")</f>
        <v>0</v>
      </c>
      <c r="G70" s="186">
        <f>SUMIFS('Plan prihoda za unos u SAP'!$H$3:$H$501,'Plan prihoda za unos u SAP'!$C$3:$C$501,"=31",'Plan prihoda za unos u SAP'!$K$3:$K$501,"=721")</f>
        <v>0</v>
      </c>
      <c r="H70" s="186">
        <f>SUMIFS('Plan prihoda za unos u SAP'!$H$3:$H$501,'Plan prihoda za unos u SAP'!$C$3:$C$501,"=41",'Plan prihoda za unos u SAP'!$K$3:$K$501,"=721")</f>
        <v>0</v>
      </c>
      <c r="I70" s="186">
        <f>SUMIFS('Plan prihoda za unos u SAP'!$H$3:$H$501,'Plan prihoda za unos u SAP'!$C$3:$C$501,"=43",'Plan prihoda za unos u SAP'!$K$3:$K$501,"=721")</f>
        <v>0</v>
      </c>
      <c r="J70" s="186">
        <f>SUMIFS('Plan prihoda za unos u SAP'!$H$3:$H$501,'Plan prihoda za unos u SAP'!$C$3:$C$501,"=51",'Plan prihoda za unos u SAP'!$K$3:$K$501,"=721")</f>
        <v>0</v>
      </c>
      <c r="K70" s="186">
        <f>SUMIFS('Plan prihoda za unos u SAP'!$H$3:$H$501,'Plan prihoda za unos u SAP'!$C$3:$C$501,"=52",'Plan prihoda za unos u SAP'!$K$3:$K$501,"=721")</f>
        <v>0</v>
      </c>
      <c r="L70" s="186">
        <f>SUMIFS('Plan prihoda za unos u SAP'!$H$3:$H$501,'Plan prihoda za unos u SAP'!$C$3:$C$501,"=552",'Plan prihoda za unos u SAP'!$K$3:$K$501,"=721")</f>
        <v>0</v>
      </c>
      <c r="M70" s="186">
        <f>SUMIFS('Plan prihoda za unos u SAP'!$H$3:$H$501,'Plan prihoda za unos u SAP'!$C$3:$C$501,"=559",'Plan prihoda za unos u SAP'!$K$3:$K$501,"=721")</f>
        <v>0</v>
      </c>
      <c r="N70" s="186">
        <f>SUMIFS('Plan prihoda za unos u SAP'!$H$3:$H$501,'Plan prihoda za unos u SAP'!$C$3:$C$501,"=561",'Plan prihoda za unos u SAP'!$K$3:$K$501,"=721")</f>
        <v>0</v>
      </c>
      <c r="O70" s="186">
        <f>SUMIFS('Plan prihoda za unos u SAP'!$H$3:$H$501,'Plan prihoda za unos u SAP'!$C$3:$C$501,"=563",'Plan prihoda za unos u SAP'!$K$3:$K$501,"=721")</f>
        <v>0</v>
      </c>
      <c r="P70" s="186">
        <f>SUMIFS('Plan prihoda za unos u SAP'!$H$3:$H$501,'Plan prihoda za unos u SAP'!$C$3:$C$501,"=573",'Plan prihoda za unos u SAP'!$K$3:$K$501,"=721")</f>
        <v>0</v>
      </c>
      <c r="Q70" s="186">
        <f>SUMIFS('Plan prihoda za unos u SAP'!$H$3:$H$501,'Plan prihoda za unos u SAP'!$C$3:$C$501,"=575",'Plan prihoda za unos u SAP'!$K$3:$K$501,"=721")</f>
        <v>0</v>
      </c>
      <c r="R70" s="186">
        <f>SUMIFS('Plan prihoda za unos u SAP'!$H$3:$H$501,'Plan prihoda za unos u SAP'!$C$3:$C$501,"=576",'Plan prihoda za unos u SAP'!$K$3:$K$501,"=721")</f>
        <v>0</v>
      </c>
      <c r="S70" s="186">
        <f>SUMIFS('Plan prihoda za unos u SAP'!$H$3:$H$501,'Plan prihoda za unos u SAP'!$C$3:$C$501,"=581",'Plan prihoda za unos u SAP'!$K$3:$K$501,"=721")</f>
        <v>0</v>
      </c>
      <c r="T70" s="186">
        <f>SUMIFS('Plan prihoda za unos u SAP'!$H$3:$H$501,'Plan prihoda za unos u SAP'!$C$3:$C$501,"=61",'Plan prihoda za unos u SAP'!$K$3:$K$501,"=721")</f>
        <v>0</v>
      </c>
      <c r="U70" s="186">
        <f>SUMIFS('Plan prihoda za unos u SAP'!$H$3:$H$501,'Plan prihoda za unos u SAP'!$C$3:$C$501,"=63",'Plan prihoda za unos u SAP'!$K$3:$K$501,"=721")</f>
        <v>0</v>
      </c>
      <c r="V70" s="186">
        <f>SUMIFS('Plan prihoda za unos u SAP'!$H$3:$H$501,'Plan prihoda za unos u SAP'!$C$3:$C$501,"=71",'Plan prihoda za unos u SAP'!$K$3:$K$501,"=721")</f>
        <v>2000</v>
      </c>
      <c r="W70" s="186">
        <f>SUMIFS('Plan prihoda za unos u SAP'!$H$3:$H$501,'Plan prihoda za unos u SAP'!$C$3:$C$501,"=81",'Plan prihoda za unos u SAP'!$K$3:$K$501,"=721")</f>
        <v>0</v>
      </c>
    </row>
    <row r="71" spans="1:23" s="90" customFormat="1">
      <c r="A71" s="90">
        <v>2022</v>
      </c>
      <c r="B71" s="95" t="s">
        <v>303</v>
      </c>
      <c r="C71" s="100" t="s">
        <v>304</v>
      </c>
      <c r="D71" s="70">
        <f t="shared" si="12"/>
        <v>0</v>
      </c>
      <c r="E71" s="186">
        <f>SUMIFS('Plan prihoda za unos u SAP'!$H$3:$H$501,'Plan prihoda za unos u SAP'!$C$3:$C$501,"=11",'Plan prihoda za unos u SAP'!$K$3:$K$501,"=722")</f>
        <v>0</v>
      </c>
      <c r="F71" s="186">
        <f>SUMIFS('Plan prihoda za unos u SAP'!$H$3:$H$501,'Plan prihoda za unos u SAP'!$C$3:$C$501,"=12",'Plan prihoda za unos u SAP'!$K$3:$K$501,"=722")</f>
        <v>0</v>
      </c>
      <c r="G71" s="186">
        <f>SUMIFS('Plan prihoda za unos u SAP'!$H$3:$H$501,'Plan prihoda za unos u SAP'!$C$3:$C$501,"=31",'Plan prihoda za unos u SAP'!$K$3:$K$501,"=722")</f>
        <v>0</v>
      </c>
      <c r="H71" s="186">
        <f>SUMIFS('Plan prihoda za unos u SAP'!$H$3:$H$501,'Plan prihoda za unos u SAP'!$C$3:$C$501,"=41",'Plan prihoda za unos u SAP'!$K$3:$K$501,"=722")</f>
        <v>0</v>
      </c>
      <c r="I71" s="186">
        <f>SUMIFS('Plan prihoda za unos u SAP'!$H$3:$H$501,'Plan prihoda za unos u SAP'!$C$3:$C$501,"=43",'Plan prihoda za unos u SAP'!$K$3:$K$501,"=722")</f>
        <v>0</v>
      </c>
      <c r="J71" s="186">
        <f>SUMIFS('Plan prihoda za unos u SAP'!$H$3:$H$501,'Plan prihoda za unos u SAP'!$C$3:$C$501,"=51",'Plan prihoda za unos u SAP'!$K$3:$K$501,"=722")</f>
        <v>0</v>
      </c>
      <c r="K71" s="186">
        <f>SUMIFS('Plan prihoda za unos u SAP'!$H$3:$H$501,'Plan prihoda za unos u SAP'!$C$3:$C$501,"=52",'Plan prihoda za unos u SAP'!$K$3:$K$501,"=722")</f>
        <v>0</v>
      </c>
      <c r="L71" s="186">
        <f>SUMIFS('Plan prihoda za unos u SAP'!$H$3:$H$501,'Plan prihoda za unos u SAP'!$C$3:$C$501,"=552",'Plan prihoda za unos u SAP'!$K$3:$K$501,"=722")</f>
        <v>0</v>
      </c>
      <c r="M71" s="186">
        <f>SUMIFS('Plan prihoda za unos u SAP'!$H$3:$H$501,'Plan prihoda za unos u SAP'!$C$3:$C$501,"=559",'Plan prihoda za unos u SAP'!$K$3:$K$501,"=722")</f>
        <v>0</v>
      </c>
      <c r="N71" s="186">
        <f>SUMIFS('Plan prihoda za unos u SAP'!$H$3:$H$501,'Plan prihoda za unos u SAP'!$C$3:$C$501,"=561",'Plan prihoda za unos u SAP'!$K$3:$K$501,"=722")</f>
        <v>0</v>
      </c>
      <c r="O71" s="186">
        <f>SUMIFS('Plan prihoda za unos u SAP'!$H$3:$H$501,'Plan prihoda za unos u SAP'!$C$3:$C$501,"=563",'Plan prihoda za unos u SAP'!$K$3:$K$501,"=722")</f>
        <v>0</v>
      </c>
      <c r="P71" s="186">
        <f>SUMIFS('Plan prihoda za unos u SAP'!$H$3:$H$501,'Plan prihoda za unos u SAP'!$C$3:$C$501,"=573",'Plan prihoda za unos u SAP'!$K$3:$K$501,"=722")</f>
        <v>0</v>
      </c>
      <c r="Q71" s="186">
        <f>SUMIFS('Plan prihoda za unos u SAP'!$H$3:$H$501,'Plan prihoda za unos u SAP'!$C$3:$C$501,"=575",'Plan prihoda za unos u SAP'!$K$3:$K$501,"=722")</f>
        <v>0</v>
      </c>
      <c r="R71" s="186">
        <f>SUMIFS('Plan prihoda za unos u SAP'!$H$3:$H$501,'Plan prihoda za unos u SAP'!$C$3:$C$501,"=576",'Plan prihoda za unos u SAP'!$K$3:$K$501,"=722")</f>
        <v>0</v>
      </c>
      <c r="S71" s="186">
        <f>SUMIFS('Plan prihoda za unos u SAP'!$H$3:$H$501,'Plan prihoda za unos u SAP'!$C$3:$C$501,"=581",'Plan prihoda za unos u SAP'!$K$3:$K$501,"=722")</f>
        <v>0</v>
      </c>
      <c r="T71" s="186">
        <f>SUMIFS('Plan prihoda za unos u SAP'!$H$3:$H$501,'Plan prihoda za unos u SAP'!$C$3:$C$501,"=61",'Plan prihoda za unos u SAP'!$K$3:$K$501,"=722")</f>
        <v>0</v>
      </c>
      <c r="U71" s="186">
        <f>SUMIFS('Plan prihoda za unos u SAP'!$H$3:$H$501,'Plan prihoda za unos u SAP'!$C$3:$C$501,"=63",'Plan prihoda za unos u SAP'!$K$3:$K$501,"=722")</f>
        <v>0</v>
      </c>
      <c r="V71" s="186">
        <f>SUMIFS('Plan prihoda za unos u SAP'!$H$3:$H$501,'Plan prihoda za unos u SAP'!$C$3:$C$501,"=71",'Plan prihoda za unos u SAP'!$K$3:$K$501,"=722")</f>
        <v>0</v>
      </c>
      <c r="W71" s="186">
        <f>SUMIFS('Plan prihoda za unos u SAP'!$H$3:$H$501,'Plan prihoda za unos u SAP'!$C$3:$C$501,"=81",'Plan prihoda za unos u SAP'!$K$3:$K$501,"=722")</f>
        <v>0</v>
      </c>
    </row>
    <row r="72" spans="1:23" s="90" customFormat="1">
      <c r="A72" s="90">
        <v>2022</v>
      </c>
      <c r="B72" s="95" t="s">
        <v>305</v>
      </c>
      <c r="C72" s="100" t="s">
        <v>306</v>
      </c>
      <c r="D72" s="70">
        <f t="shared" si="12"/>
        <v>0</v>
      </c>
      <c r="E72" s="186">
        <f>SUMIFS('Plan prihoda za unos u SAP'!$H$3:$H$501,'Plan prihoda za unos u SAP'!$C$3:$C$501,"=11",'Plan prihoda za unos u SAP'!$K$3:$K$501,"=723")</f>
        <v>0</v>
      </c>
      <c r="F72" s="186">
        <f>SUMIFS('Plan prihoda za unos u SAP'!$H$3:$H$501,'Plan prihoda za unos u SAP'!$C$3:$C$501,"=12",'Plan prihoda za unos u SAP'!$K$3:$K$501,"=723")</f>
        <v>0</v>
      </c>
      <c r="G72" s="186">
        <f>SUMIFS('Plan prihoda za unos u SAP'!$H$3:$H$501,'Plan prihoda za unos u SAP'!$C$3:$C$501,"=31",'Plan prihoda za unos u SAP'!$K$3:$K$501,"=723")</f>
        <v>0</v>
      </c>
      <c r="H72" s="186">
        <f>SUMIFS('Plan prihoda za unos u SAP'!$H$3:$H$501,'Plan prihoda za unos u SAP'!$C$3:$C$501,"=41",'Plan prihoda za unos u SAP'!$K$3:$K$501,"=723")</f>
        <v>0</v>
      </c>
      <c r="I72" s="186">
        <f>SUMIFS('Plan prihoda za unos u SAP'!$H$3:$H$501,'Plan prihoda za unos u SAP'!$C$3:$C$501,"=43",'Plan prihoda za unos u SAP'!$K$3:$K$501,"=723")</f>
        <v>0</v>
      </c>
      <c r="J72" s="186">
        <f>SUMIFS('Plan prihoda za unos u SAP'!$H$3:$H$501,'Plan prihoda za unos u SAP'!$C$3:$C$501,"=51",'Plan prihoda za unos u SAP'!$K$3:$K$501,"=723")</f>
        <v>0</v>
      </c>
      <c r="K72" s="186">
        <f>SUMIFS('Plan prihoda za unos u SAP'!$H$3:$H$501,'Plan prihoda za unos u SAP'!$C$3:$C$501,"=52",'Plan prihoda za unos u SAP'!$K$3:$K$501,"=723")</f>
        <v>0</v>
      </c>
      <c r="L72" s="186">
        <f>SUMIFS('Plan prihoda za unos u SAP'!$H$3:$H$501,'Plan prihoda za unos u SAP'!$C$3:$C$501,"=552",'Plan prihoda za unos u SAP'!$K$3:$K$501,"=723")</f>
        <v>0</v>
      </c>
      <c r="M72" s="186">
        <f>SUMIFS('Plan prihoda za unos u SAP'!$H$3:$H$501,'Plan prihoda za unos u SAP'!$C$3:$C$501,"=559",'Plan prihoda za unos u SAP'!$K$3:$K$501,"=723")</f>
        <v>0</v>
      </c>
      <c r="N72" s="186">
        <f>SUMIFS('Plan prihoda za unos u SAP'!$H$3:$H$501,'Plan prihoda za unos u SAP'!$C$3:$C$501,"=561",'Plan prihoda za unos u SAP'!$K$3:$K$501,"=723")</f>
        <v>0</v>
      </c>
      <c r="O72" s="186">
        <f>SUMIFS('Plan prihoda za unos u SAP'!$H$3:$H$501,'Plan prihoda za unos u SAP'!$C$3:$C$501,"=563",'Plan prihoda za unos u SAP'!$K$3:$K$501,"=723")</f>
        <v>0</v>
      </c>
      <c r="P72" s="186">
        <f>SUMIFS('Plan prihoda za unos u SAP'!$H$3:$H$501,'Plan prihoda za unos u SAP'!$C$3:$C$501,"=573",'Plan prihoda za unos u SAP'!$K$3:$K$501,"=723")</f>
        <v>0</v>
      </c>
      <c r="Q72" s="186">
        <f>SUMIFS('Plan prihoda za unos u SAP'!$H$3:$H$501,'Plan prihoda za unos u SAP'!$C$3:$C$501,"=575",'Plan prihoda za unos u SAP'!$K$3:$K$501,"=723")</f>
        <v>0</v>
      </c>
      <c r="R72" s="186">
        <f>SUMIFS('Plan prihoda za unos u SAP'!$H$3:$H$501,'Plan prihoda za unos u SAP'!$C$3:$C$501,"=576",'Plan prihoda za unos u SAP'!$K$3:$K$501,"=723")</f>
        <v>0</v>
      </c>
      <c r="S72" s="186">
        <f>SUMIFS('Plan prihoda za unos u SAP'!$H$3:$H$501,'Plan prihoda za unos u SAP'!$C$3:$C$501,"=581",'Plan prihoda za unos u SAP'!$K$3:$K$501,"=723")</f>
        <v>0</v>
      </c>
      <c r="T72" s="186">
        <f>SUMIFS('Plan prihoda za unos u SAP'!$H$3:$H$501,'Plan prihoda za unos u SAP'!$C$3:$C$501,"=61",'Plan prihoda za unos u SAP'!$K$3:$K$501,"=723")</f>
        <v>0</v>
      </c>
      <c r="U72" s="186">
        <f>SUMIFS('Plan prihoda za unos u SAP'!$H$3:$H$501,'Plan prihoda za unos u SAP'!$C$3:$C$501,"=63",'Plan prihoda za unos u SAP'!$K$3:$K$501,"=723")</f>
        <v>0</v>
      </c>
      <c r="V72" s="186">
        <f>SUMIFS('Plan prihoda za unos u SAP'!$H$3:$H$501,'Plan prihoda za unos u SAP'!$C$3:$C$501,"=71",'Plan prihoda za unos u SAP'!$K$3:$K$501,"=723")</f>
        <v>0</v>
      </c>
      <c r="W72" s="186">
        <f>SUMIFS('Plan prihoda za unos u SAP'!$H$3:$H$501,'Plan prihoda za unos u SAP'!$C$3:$C$501,"=81",'Plan prihoda za unos u SAP'!$K$3:$K$501,"=723")</f>
        <v>0</v>
      </c>
    </row>
    <row r="73" spans="1:23" s="90" customFormat="1">
      <c r="A73" s="90">
        <v>2022</v>
      </c>
      <c r="B73" s="95" t="s">
        <v>315</v>
      </c>
      <c r="C73" s="100" t="s">
        <v>316</v>
      </c>
      <c r="D73" s="70">
        <f t="shared" si="12"/>
        <v>0</v>
      </c>
      <c r="E73" s="186">
        <f>SUMIFS('Plan prihoda za unos u SAP'!$H$3:$H$501,'Plan prihoda za unos u SAP'!$C$3:$C$501,"=11",'Plan prihoda za unos u SAP'!$K$3:$K$501,"=725")</f>
        <v>0</v>
      </c>
      <c r="F73" s="186">
        <f>SUMIFS('Plan prihoda za unos u SAP'!$H$3:$H$501,'Plan prihoda za unos u SAP'!$C$3:$C$501,"=12",'Plan prihoda za unos u SAP'!$K$3:$K$501,"=725")</f>
        <v>0</v>
      </c>
      <c r="G73" s="186">
        <f>SUMIFS('Plan prihoda za unos u SAP'!$H$3:$H$501,'Plan prihoda za unos u SAP'!$C$3:$C$501,"=31",'Plan prihoda za unos u SAP'!$K$3:$K$501,"=725")</f>
        <v>0</v>
      </c>
      <c r="H73" s="186">
        <f>SUMIFS('Plan prihoda za unos u SAP'!$H$3:$H$501,'Plan prihoda za unos u SAP'!$C$3:$C$501,"=41",'Plan prihoda za unos u SAP'!$K$3:$K$501,"=725")</f>
        <v>0</v>
      </c>
      <c r="I73" s="186">
        <f>SUMIFS('Plan prihoda za unos u SAP'!$H$3:$H$501,'Plan prihoda za unos u SAP'!$C$3:$C$501,"=43",'Plan prihoda za unos u SAP'!$K$3:$K$501,"=725")</f>
        <v>0</v>
      </c>
      <c r="J73" s="186">
        <f>SUMIFS('Plan prihoda za unos u SAP'!$H$3:$H$501,'Plan prihoda za unos u SAP'!$C$3:$C$501,"=51",'Plan prihoda za unos u SAP'!$K$3:$K$501,"=725")</f>
        <v>0</v>
      </c>
      <c r="K73" s="186">
        <f>SUMIFS('Plan prihoda za unos u SAP'!$H$3:$H$501,'Plan prihoda za unos u SAP'!$C$3:$C$501,"=52",'Plan prihoda za unos u SAP'!$K$3:$K$501,"=725")</f>
        <v>0</v>
      </c>
      <c r="L73" s="186">
        <f>SUMIFS('Plan prihoda za unos u SAP'!$H$3:$H$501,'Plan prihoda za unos u SAP'!$C$3:$C$501,"=552",'Plan prihoda za unos u SAP'!$K$3:$K$501,"=725")</f>
        <v>0</v>
      </c>
      <c r="M73" s="186">
        <f>SUMIFS('Plan prihoda za unos u SAP'!$H$3:$H$501,'Plan prihoda za unos u SAP'!$C$3:$C$501,"=559",'Plan prihoda za unos u SAP'!$K$3:$K$501,"=725")</f>
        <v>0</v>
      </c>
      <c r="N73" s="186">
        <f>SUMIFS('Plan prihoda za unos u SAP'!$H$3:$H$501,'Plan prihoda za unos u SAP'!$C$3:$C$501,"=561",'Plan prihoda za unos u SAP'!$K$3:$K$501,"=725")</f>
        <v>0</v>
      </c>
      <c r="O73" s="186">
        <f>SUMIFS('Plan prihoda za unos u SAP'!$H$3:$H$501,'Plan prihoda za unos u SAP'!$C$3:$C$501,"=563",'Plan prihoda za unos u SAP'!$K$3:$K$501,"=725")</f>
        <v>0</v>
      </c>
      <c r="P73" s="186">
        <f>SUMIFS('Plan prihoda za unos u SAP'!$H$3:$H$501,'Plan prihoda za unos u SAP'!$C$3:$C$501,"=573",'Plan prihoda za unos u SAP'!$K$3:$K$501,"=725")</f>
        <v>0</v>
      </c>
      <c r="Q73" s="186">
        <f>SUMIFS('Plan prihoda za unos u SAP'!$H$3:$H$501,'Plan prihoda za unos u SAP'!$C$3:$C$501,"=575",'Plan prihoda za unos u SAP'!$K$3:$K$501,"=725")</f>
        <v>0</v>
      </c>
      <c r="R73" s="186">
        <f>SUMIFS('Plan prihoda za unos u SAP'!$H$3:$H$501,'Plan prihoda za unos u SAP'!$C$3:$C$501,"=576",'Plan prihoda za unos u SAP'!$K$3:$K$501,"=725")</f>
        <v>0</v>
      </c>
      <c r="S73" s="186">
        <f>SUMIFS('Plan prihoda za unos u SAP'!$H$3:$H$501,'Plan prihoda za unos u SAP'!$C$3:$C$501,"=581",'Plan prihoda za unos u SAP'!$K$3:$K$501,"=725")</f>
        <v>0</v>
      </c>
      <c r="T73" s="186">
        <f>SUMIFS('Plan prihoda za unos u SAP'!$H$3:$H$501,'Plan prihoda za unos u SAP'!$C$3:$C$501,"=61",'Plan prihoda za unos u SAP'!$K$3:$K$501,"=725")</f>
        <v>0</v>
      </c>
      <c r="U73" s="186">
        <f>SUMIFS('Plan prihoda za unos u SAP'!$H$3:$H$501,'Plan prihoda za unos u SAP'!$C$3:$C$501,"=63",'Plan prihoda za unos u SAP'!$K$3:$K$501,"=725")</f>
        <v>0</v>
      </c>
      <c r="V73" s="186">
        <f>SUMIFS('Plan prihoda za unos u SAP'!$H$3:$H$501,'Plan prihoda za unos u SAP'!$C$3:$C$501,"=71",'Plan prihoda za unos u SAP'!$K$3:$K$501,"=725")</f>
        <v>0</v>
      </c>
      <c r="W73" s="186">
        <f>SUMIFS('Plan prihoda za unos u SAP'!$H$3:$H$501,'Plan prihoda za unos u SAP'!$C$3:$C$501,"=81",'Plan prihoda za unos u SAP'!$K$3:$K$501,"=725")</f>
        <v>0</v>
      </c>
    </row>
    <row r="74" spans="1:23" s="90" customFormat="1">
      <c r="A74" s="90">
        <v>2022</v>
      </c>
      <c r="B74" s="98" t="s">
        <v>307</v>
      </c>
      <c r="C74" s="99" t="s">
        <v>300</v>
      </c>
      <c r="D74" s="70">
        <f t="shared" si="12"/>
        <v>2000</v>
      </c>
      <c r="E74" s="4">
        <f>SUM(E68:E73)</f>
        <v>0</v>
      </c>
      <c r="F74" s="4">
        <f t="shared" ref="F74:W74" si="19">SUM(F68:F73)</f>
        <v>0</v>
      </c>
      <c r="G74" s="4">
        <f t="shared" si="19"/>
        <v>0</v>
      </c>
      <c r="H74" s="4">
        <f>SUM(H68:H73)</f>
        <v>0</v>
      </c>
      <c r="I74" s="4">
        <f t="shared" si="19"/>
        <v>0</v>
      </c>
      <c r="J74" s="4">
        <f t="shared" si="19"/>
        <v>0</v>
      </c>
      <c r="K74" s="4">
        <f t="shared" si="19"/>
        <v>0</v>
      </c>
      <c r="L74" s="4">
        <f>SUM(L68:L73)</f>
        <v>0</v>
      </c>
      <c r="M74" s="4">
        <f t="shared" si="19"/>
        <v>0</v>
      </c>
      <c r="N74" s="4">
        <f t="shared" si="19"/>
        <v>0</v>
      </c>
      <c r="O74" s="4">
        <f t="shared" si="19"/>
        <v>0</v>
      </c>
      <c r="P74" s="4">
        <f>SUM(P68:P73)</f>
        <v>0</v>
      </c>
      <c r="Q74" s="4">
        <f>SUM(Q68:Q73)</f>
        <v>0</v>
      </c>
      <c r="R74" s="4">
        <f>SUM(R68:R73)</f>
        <v>0</v>
      </c>
      <c r="S74" s="4">
        <f>SUM(S68:S73)</f>
        <v>0</v>
      </c>
      <c r="T74" s="4">
        <f t="shared" si="19"/>
        <v>0</v>
      </c>
      <c r="U74" s="4">
        <f t="shared" si="19"/>
        <v>0</v>
      </c>
      <c r="V74" s="4">
        <f t="shared" si="19"/>
        <v>2000</v>
      </c>
      <c r="W74" s="4">
        <f t="shared" si="19"/>
        <v>0</v>
      </c>
    </row>
    <row r="75" spans="1:23" s="90" customFormat="1">
      <c r="A75" s="90">
        <v>2022</v>
      </c>
      <c r="B75" s="101">
        <v>818</v>
      </c>
      <c r="C75" s="102" t="s">
        <v>1381</v>
      </c>
      <c r="D75" s="70">
        <f t="shared" si="12"/>
        <v>0</v>
      </c>
      <c r="E75" s="186">
        <f>SUMIFS('Plan prihoda za unos u SAP'!$H$3:$H$501,'Plan prihoda za unos u SAP'!$C$3:$C$501,"=11",'Plan prihoda za unos u SAP'!$K$3:$K$501,"=818")</f>
        <v>0</v>
      </c>
      <c r="F75" s="186">
        <f>SUMIFS('Plan prihoda za unos u SAP'!$H$3:$H$501,'Plan prihoda za unos u SAP'!$C$3:$C$501,"=12",'Plan prihoda za unos u SAP'!$K$3:$K$501,"=818")</f>
        <v>0</v>
      </c>
      <c r="G75" s="186">
        <f>SUMIFS('Plan prihoda za unos u SAP'!$H$3:$H$501,'Plan prihoda za unos u SAP'!$C$3:$C$501,"=31",'Plan prihoda za unos u SAP'!$K$3:$K$501,"=818")</f>
        <v>0</v>
      </c>
      <c r="H75" s="186">
        <f>SUMIFS('Plan prihoda za unos u SAP'!$H$3:$H$501,'Plan prihoda za unos u SAP'!$C$3:$C$501,"=41",'Plan prihoda za unos u SAP'!$K$3:$K$501,"=818")</f>
        <v>0</v>
      </c>
      <c r="I75" s="186">
        <f>SUMIFS('Plan prihoda za unos u SAP'!$H$3:$H$501,'Plan prihoda za unos u SAP'!$C$3:$C$501,"=43",'Plan prihoda za unos u SAP'!$K$3:$K$501,"=818")</f>
        <v>0</v>
      </c>
      <c r="J75" s="186">
        <f>SUMIFS('Plan prihoda za unos u SAP'!$H$3:$H$501,'Plan prihoda za unos u SAP'!$C$3:$C$501,"=51",'Plan prihoda za unos u SAP'!$K$3:$K$501,"=818")</f>
        <v>0</v>
      </c>
      <c r="K75" s="186">
        <f>SUMIFS('Plan prihoda za unos u SAP'!$H$3:$H$501,'Plan prihoda za unos u SAP'!$C$3:$C$501,"=52",'Plan prihoda za unos u SAP'!$K$3:$K$501,"=818")</f>
        <v>0</v>
      </c>
      <c r="L75" s="186">
        <f>SUMIFS('Plan prihoda za unos u SAP'!$H$3:$H$501,'Plan prihoda za unos u SAP'!$C$3:$C$501,"=552",'Plan prihoda za unos u SAP'!$K$3:$K$501,"=818")</f>
        <v>0</v>
      </c>
      <c r="M75" s="186">
        <f>SUMIFS('Plan prihoda za unos u SAP'!$H$3:$H$501,'Plan prihoda za unos u SAP'!$C$3:$C$501,"=559",'Plan prihoda za unos u SAP'!$K$3:$K$501,"=818")</f>
        <v>0</v>
      </c>
      <c r="N75" s="186">
        <f>SUMIFS('Plan prihoda za unos u SAP'!$H$3:$H$501,'Plan prihoda za unos u SAP'!$C$3:$C$501,"=561",'Plan prihoda za unos u SAP'!$K$3:$K$501,"=818")</f>
        <v>0</v>
      </c>
      <c r="O75" s="186">
        <f>SUMIFS('Plan prihoda za unos u SAP'!$H$3:$H$501,'Plan prihoda za unos u SAP'!$C$3:$C$501,"=563",'Plan prihoda za unos u SAP'!$K$3:$K$501,"=818")</f>
        <v>0</v>
      </c>
      <c r="P75" s="186">
        <f>SUMIFS('Plan prihoda za unos u SAP'!$H$3:$H$501,'Plan prihoda za unos u SAP'!$C$3:$C$501,"=573",'Plan prihoda za unos u SAP'!$K$3:$K$501,"=818")</f>
        <v>0</v>
      </c>
      <c r="Q75" s="186">
        <f>SUMIFS('Plan prihoda za unos u SAP'!$H$3:$H$501,'Plan prihoda za unos u SAP'!$C$3:$C$501,"=575",'Plan prihoda za unos u SAP'!$K$3:$K$501,"=818")</f>
        <v>0</v>
      </c>
      <c r="R75" s="186">
        <f>SUMIFS('Plan prihoda za unos u SAP'!$H$3:$H$501,'Plan prihoda za unos u SAP'!$C$3:$C$501,"=576",'Plan prihoda za unos u SAP'!$K$3:$K$501,"=818")</f>
        <v>0</v>
      </c>
      <c r="S75" s="186">
        <f>SUMIFS('Plan prihoda za unos u SAP'!$H$3:$H$501,'Plan prihoda za unos u SAP'!$C$3:$C$501,"=581",'Plan prihoda za unos u SAP'!$K$3:$K$501,"=818")</f>
        <v>0</v>
      </c>
      <c r="T75" s="186">
        <f>SUMIFS('Plan prihoda za unos u SAP'!$H$3:$H$501,'Plan prihoda za unos u SAP'!$C$3:$C$501,"=61",'Plan prihoda za unos u SAP'!$K$3:$K$501,"=818")</f>
        <v>0</v>
      </c>
      <c r="U75" s="186">
        <f>SUMIFS('Plan prihoda za unos u SAP'!$H$3:$H$501,'Plan prihoda za unos u SAP'!$C$3:$C$501,"=63",'Plan prihoda za unos u SAP'!$K$3:$K$501,"=818")</f>
        <v>0</v>
      </c>
      <c r="V75" s="186">
        <f>SUMIFS('Plan prihoda za unos u SAP'!$H$3:$H$501,'Plan prihoda za unos u SAP'!$C$3:$C$501,"=71",'Plan prihoda za unos u SAP'!$K$3:$K$501,"=818")</f>
        <v>0</v>
      </c>
      <c r="W75" s="186">
        <f>SUMIFS('Plan prihoda za unos u SAP'!$H$3:$H$501,'Plan prihoda za unos u SAP'!$C$3:$C$501,"=81",'Plan prihoda za unos u SAP'!$K$3:$K$501,"=818")</f>
        <v>0</v>
      </c>
    </row>
    <row r="76" spans="1:23" s="90" customFormat="1">
      <c r="A76" s="90">
        <v>2022</v>
      </c>
      <c r="B76" s="101">
        <v>832</v>
      </c>
      <c r="C76" s="102" t="s">
        <v>1382</v>
      </c>
      <c r="D76" s="70">
        <f t="shared" si="12"/>
        <v>0</v>
      </c>
      <c r="E76" s="186">
        <f>SUMIFS('Plan prihoda za unos u SAP'!$H$3:$H$501,'Plan prihoda za unos u SAP'!$C$3:$C$501,"=11",'Plan prihoda za unos u SAP'!$K$3:$K$501,"=832")</f>
        <v>0</v>
      </c>
      <c r="F76" s="186">
        <f>SUMIFS('Plan prihoda za unos u SAP'!$H$3:$H$501,'Plan prihoda za unos u SAP'!$C$3:$C$501,"=12",'Plan prihoda za unos u SAP'!$K$3:$K$501,"=832")</f>
        <v>0</v>
      </c>
      <c r="G76" s="186">
        <f>SUMIFS('Plan prihoda za unos u SAP'!$H$3:$H$501,'Plan prihoda za unos u SAP'!$C$3:$C$501,"=31",'Plan prihoda za unos u SAP'!$K$3:$K$501,"=832")</f>
        <v>0</v>
      </c>
      <c r="H76" s="186">
        <f>SUMIFS('Plan prihoda za unos u SAP'!$H$3:$H$501,'Plan prihoda za unos u SAP'!$C$3:$C$501,"=41",'Plan prihoda za unos u SAP'!$K$3:$K$501,"=832")</f>
        <v>0</v>
      </c>
      <c r="I76" s="186">
        <f>SUMIFS('Plan prihoda za unos u SAP'!$H$3:$H$501,'Plan prihoda za unos u SAP'!$C$3:$C$501,"=43",'Plan prihoda za unos u SAP'!$K$3:$K$501,"=832")</f>
        <v>0</v>
      </c>
      <c r="J76" s="186">
        <f>SUMIFS('Plan prihoda za unos u SAP'!$H$3:$H$501,'Plan prihoda za unos u SAP'!$C$3:$C$501,"=51",'Plan prihoda za unos u SAP'!$K$3:$K$501,"=832")</f>
        <v>0</v>
      </c>
      <c r="K76" s="186">
        <f>SUMIFS('Plan prihoda za unos u SAP'!$H$3:$H$501,'Plan prihoda za unos u SAP'!$C$3:$C$501,"=52",'Plan prihoda za unos u SAP'!$K$3:$K$501,"=832")</f>
        <v>0</v>
      </c>
      <c r="L76" s="186">
        <f>SUMIFS('Plan prihoda za unos u SAP'!$H$3:$H$501,'Plan prihoda za unos u SAP'!$C$3:$C$501,"=552",'Plan prihoda za unos u SAP'!$K$3:$K$501,"=832")</f>
        <v>0</v>
      </c>
      <c r="M76" s="186">
        <f>SUMIFS('Plan prihoda za unos u SAP'!$H$3:$H$501,'Plan prihoda za unos u SAP'!$C$3:$C$501,"=559",'Plan prihoda za unos u SAP'!$K$3:$K$501,"=832")</f>
        <v>0</v>
      </c>
      <c r="N76" s="186">
        <f>SUMIFS('Plan prihoda za unos u SAP'!$H$3:$H$501,'Plan prihoda za unos u SAP'!$C$3:$C$501,"=561",'Plan prihoda za unos u SAP'!$K$3:$K$501,"=832")</f>
        <v>0</v>
      </c>
      <c r="O76" s="186">
        <f>SUMIFS('Plan prihoda za unos u SAP'!$H$3:$H$501,'Plan prihoda za unos u SAP'!$C$3:$C$501,"=563",'Plan prihoda za unos u SAP'!$K$3:$K$501,"=832")</f>
        <v>0</v>
      </c>
      <c r="P76" s="186">
        <f>SUMIFS('Plan prihoda za unos u SAP'!$H$3:$H$501,'Plan prihoda za unos u SAP'!$C$3:$C$501,"=573",'Plan prihoda za unos u SAP'!$K$3:$K$501,"=832")</f>
        <v>0</v>
      </c>
      <c r="Q76" s="186">
        <f>SUMIFS('Plan prihoda za unos u SAP'!$H$3:$H$501,'Plan prihoda za unos u SAP'!$C$3:$C$501,"=575",'Plan prihoda za unos u SAP'!$K$3:$K$501,"=832")</f>
        <v>0</v>
      </c>
      <c r="R76" s="186">
        <f>SUMIFS('Plan prihoda za unos u SAP'!$H$3:$H$501,'Plan prihoda za unos u SAP'!$C$3:$C$501,"=576",'Plan prihoda za unos u SAP'!$K$3:$K$501,"=832")</f>
        <v>0</v>
      </c>
      <c r="S76" s="186">
        <f>SUMIFS('Plan prihoda za unos u SAP'!$H$3:$H$501,'Plan prihoda za unos u SAP'!$C$3:$C$501,"=581",'Plan prihoda za unos u SAP'!$K$3:$K$501,"=832")</f>
        <v>0</v>
      </c>
      <c r="T76" s="186">
        <f>SUMIFS('Plan prihoda za unos u SAP'!$H$3:$H$501,'Plan prihoda za unos u SAP'!$C$3:$C$501,"=61",'Plan prihoda za unos u SAP'!$K$3:$K$501,"=832")</f>
        <v>0</v>
      </c>
      <c r="U76" s="186">
        <f>SUMIFS('Plan prihoda za unos u SAP'!$H$3:$H$501,'Plan prihoda za unos u SAP'!$C$3:$C$501,"=63",'Plan prihoda za unos u SAP'!$K$3:$K$501,"=832")</f>
        <v>0</v>
      </c>
      <c r="V76" s="186">
        <f>SUMIFS('Plan prihoda za unos u SAP'!$H$3:$H$501,'Plan prihoda za unos u SAP'!$C$3:$C$501,"=71",'Plan prihoda za unos u SAP'!$K$3:$K$501,"=832")</f>
        <v>0</v>
      </c>
      <c r="W76" s="186">
        <f>SUMIFS('Plan prihoda za unos u SAP'!$H$3:$H$501,'Plan prihoda za unos u SAP'!$C$3:$C$501,"=81",'Plan prihoda za unos u SAP'!$K$3:$K$501,"=832")</f>
        <v>0</v>
      </c>
    </row>
    <row r="77" spans="1:23" s="90" customFormat="1" ht="25.5">
      <c r="A77" s="90">
        <v>2022</v>
      </c>
      <c r="B77" s="101">
        <v>833</v>
      </c>
      <c r="C77" s="102" t="s">
        <v>1911</v>
      </c>
      <c r="D77" s="70">
        <f t="shared" si="12"/>
        <v>0</v>
      </c>
      <c r="E77" s="186">
        <f>SUMIFS('Plan prihoda za unos u SAP'!$H$3:$H$501,'Plan prihoda za unos u SAP'!$C$3:$C$501,"=11",'Plan prihoda za unos u SAP'!$K$3:$K$501,"=833")</f>
        <v>0</v>
      </c>
      <c r="F77" s="186">
        <f>SUMIFS('Plan prihoda za unos u SAP'!$H$3:$H$501,'Plan prihoda za unos u SAP'!$C$3:$C$501,"=12",'Plan prihoda za unos u SAP'!$K$3:$K$501,"=833")</f>
        <v>0</v>
      </c>
      <c r="G77" s="186">
        <f>SUMIFS('Plan prihoda za unos u SAP'!$H$3:$H$501,'Plan prihoda za unos u SAP'!$C$3:$C$501,"=31",'Plan prihoda za unos u SAP'!$K$3:$K$501,"=833")</f>
        <v>0</v>
      </c>
      <c r="H77" s="186">
        <f>SUMIFS('Plan prihoda za unos u SAP'!$H$3:$H$501,'Plan prihoda za unos u SAP'!$C$3:$C$501,"=41",'Plan prihoda za unos u SAP'!$K$3:$K$501,"=833")</f>
        <v>0</v>
      </c>
      <c r="I77" s="186">
        <f>SUMIFS('Plan prihoda za unos u SAP'!$H$3:$H$501,'Plan prihoda za unos u SAP'!$C$3:$C$501,"=43",'Plan prihoda za unos u SAP'!$K$3:$K$501,"=833")</f>
        <v>0</v>
      </c>
      <c r="J77" s="186">
        <f>SUMIFS('Plan prihoda za unos u SAP'!$H$3:$H$501,'Plan prihoda za unos u SAP'!$C$3:$C$501,"=51",'Plan prihoda za unos u SAP'!$K$3:$K$501,"=833")</f>
        <v>0</v>
      </c>
      <c r="K77" s="186">
        <f>SUMIFS('Plan prihoda za unos u SAP'!$H$3:$H$501,'Plan prihoda za unos u SAP'!$C$3:$C$501,"=52",'Plan prihoda za unos u SAP'!$K$3:$K$501,"=833")</f>
        <v>0</v>
      </c>
      <c r="L77" s="186">
        <f>SUMIFS('Plan prihoda za unos u SAP'!$H$3:$H$501,'Plan prihoda za unos u SAP'!$C$3:$C$501,"=552",'Plan prihoda za unos u SAP'!$K$3:$K$501,"=833")</f>
        <v>0</v>
      </c>
      <c r="M77" s="186">
        <f>SUMIFS('Plan prihoda za unos u SAP'!$H$3:$H$501,'Plan prihoda za unos u SAP'!$C$3:$C$501,"=559",'Plan prihoda za unos u SAP'!$K$3:$K$501,"=833")</f>
        <v>0</v>
      </c>
      <c r="N77" s="186">
        <f>SUMIFS('Plan prihoda za unos u SAP'!$H$3:$H$501,'Plan prihoda za unos u SAP'!$C$3:$C$501,"=561",'Plan prihoda za unos u SAP'!$K$3:$K$501,"=833")</f>
        <v>0</v>
      </c>
      <c r="O77" s="186">
        <f>SUMIFS('Plan prihoda za unos u SAP'!$H$3:$H$501,'Plan prihoda za unos u SAP'!$C$3:$C$501,"=563",'Plan prihoda za unos u SAP'!$K$3:$K$501,"=833")</f>
        <v>0</v>
      </c>
      <c r="P77" s="186">
        <f>SUMIFS('Plan prihoda za unos u SAP'!$H$3:$H$501,'Plan prihoda za unos u SAP'!$C$3:$C$501,"=573",'Plan prihoda za unos u SAP'!$K$3:$K$501,"=833")</f>
        <v>0</v>
      </c>
      <c r="Q77" s="186">
        <f>SUMIFS('Plan prihoda za unos u SAP'!$H$3:$H$501,'Plan prihoda za unos u SAP'!$C$3:$C$501,"=575",'Plan prihoda za unos u SAP'!$K$3:$K$501,"=833")</f>
        <v>0</v>
      </c>
      <c r="R77" s="186">
        <f>SUMIFS('Plan prihoda za unos u SAP'!$H$3:$H$501,'Plan prihoda za unos u SAP'!$C$3:$C$501,"=576",'Plan prihoda za unos u SAP'!$K$3:$K$501,"=833")</f>
        <v>0</v>
      </c>
      <c r="S77" s="186">
        <f>SUMIFS('Plan prihoda za unos u SAP'!$H$3:$H$501,'Plan prihoda za unos u SAP'!$C$3:$C$501,"=581",'Plan prihoda za unos u SAP'!$K$3:$K$501,"=833")</f>
        <v>0</v>
      </c>
      <c r="T77" s="186">
        <f>SUMIFS('Plan prihoda za unos u SAP'!$H$3:$H$501,'Plan prihoda za unos u SAP'!$C$3:$C$501,"=61",'Plan prihoda za unos u SAP'!$K$3:$K$501,"=833")</f>
        <v>0</v>
      </c>
      <c r="U77" s="186">
        <f>SUMIFS('Plan prihoda za unos u SAP'!$H$3:$H$501,'Plan prihoda za unos u SAP'!$C$3:$C$501,"=63",'Plan prihoda za unos u SAP'!$K$3:$K$501,"=833")</f>
        <v>0</v>
      </c>
      <c r="V77" s="186">
        <f>SUMIFS('Plan prihoda za unos u SAP'!$H$3:$H$501,'Plan prihoda za unos u SAP'!$C$3:$C$501,"=71",'Plan prihoda za unos u SAP'!$K$3:$K$501,"=833")</f>
        <v>0</v>
      </c>
      <c r="W77" s="186">
        <f>SUMIFS('Plan prihoda za unos u SAP'!$H$3:$H$501,'Plan prihoda za unos u SAP'!$C$3:$C$501,"=81",'Plan prihoda za unos u SAP'!$K$3:$K$501,"=833")</f>
        <v>0</v>
      </c>
    </row>
    <row r="78" spans="1:23" s="90" customFormat="1" ht="25.5">
      <c r="A78" s="90">
        <v>2022</v>
      </c>
      <c r="B78" s="101">
        <v>841</v>
      </c>
      <c r="C78" s="102" t="s">
        <v>1383</v>
      </c>
      <c r="D78" s="70">
        <f t="shared" si="12"/>
        <v>0</v>
      </c>
      <c r="E78" s="186">
        <f>SUMIFS('Plan prihoda za unos u SAP'!$H$3:$H$501,'Plan prihoda za unos u SAP'!$C$3:$C$501,"=11",'Plan prihoda za unos u SAP'!$K$3:$K$501,"=841")</f>
        <v>0</v>
      </c>
      <c r="F78" s="186">
        <f>SUMIFS('Plan prihoda za unos u SAP'!$H$3:$H$501,'Plan prihoda za unos u SAP'!$C$3:$C$501,"=12",'Plan prihoda za unos u SAP'!$K$3:$K$501,"=841")</f>
        <v>0</v>
      </c>
      <c r="G78" s="186">
        <f>SUMIFS('Plan prihoda za unos u SAP'!$H$3:$H$501,'Plan prihoda za unos u SAP'!$C$3:$C$501,"=31",'Plan prihoda za unos u SAP'!$K$3:$K$501,"=841")</f>
        <v>0</v>
      </c>
      <c r="H78" s="186">
        <f>SUMIFS('Plan prihoda za unos u SAP'!$H$3:$H$501,'Plan prihoda za unos u SAP'!$C$3:$C$501,"=41",'Plan prihoda za unos u SAP'!$K$3:$K$501,"=841")</f>
        <v>0</v>
      </c>
      <c r="I78" s="186">
        <f>SUMIFS('Plan prihoda za unos u SAP'!$H$3:$H$501,'Plan prihoda za unos u SAP'!$C$3:$C$501,"=43",'Plan prihoda za unos u SAP'!$K$3:$K$501,"=841")</f>
        <v>0</v>
      </c>
      <c r="J78" s="186">
        <f>SUMIFS('Plan prihoda za unos u SAP'!$H$3:$H$501,'Plan prihoda za unos u SAP'!$C$3:$C$501,"=51",'Plan prihoda za unos u SAP'!$K$3:$K$501,"=841")</f>
        <v>0</v>
      </c>
      <c r="K78" s="186">
        <f>SUMIFS('Plan prihoda za unos u SAP'!$H$3:$H$501,'Plan prihoda za unos u SAP'!$C$3:$C$501,"=52",'Plan prihoda za unos u SAP'!$K$3:$K$501,"=841")</f>
        <v>0</v>
      </c>
      <c r="L78" s="186">
        <f>SUMIFS('Plan prihoda za unos u SAP'!$H$3:$H$501,'Plan prihoda za unos u SAP'!$C$3:$C$501,"=552",'Plan prihoda za unos u SAP'!$K$3:$K$501,"=841")</f>
        <v>0</v>
      </c>
      <c r="M78" s="186">
        <f>SUMIFS('Plan prihoda za unos u SAP'!$H$3:$H$501,'Plan prihoda za unos u SAP'!$C$3:$C$501,"=559",'Plan prihoda za unos u SAP'!$K$3:$K$501,"=841")</f>
        <v>0</v>
      </c>
      <c r="N78" s="186">
        <f>SUMIFS('Plan prihoda za unos u SAP'!$H$3:$H$501,'Plan prihoda za unos u SAP'!$C$3:$C$501,"=561",'Plan prihoda za unos u SAP'!$K$3:$K$501,"=841")</f>
        <v>0</v>
      </c>
      <c r="O78" s="186">
        <f>SUMIFS('Plan prihoda za unos u SAP'!$H$3:$H$501,'Plan prihoda za unos u SAP'!$C$3:$C$501,"=563",'Plan prihoda za unos u SAP'!$K$3:$K$501,"=841")</f>
        <v>0</v>
      </c>
      <c r="P78" s="186">
        <f>SUMIFS('Plan prihoda za unos u SAP'!$H$3:$H$501,'Plan prihoda za unos u SAP'!$C$3:$C$501,"=573",'Plan prihoda za unos u SAP'!$K$3:$K$501,"=841")</f>
        <v>0</v>
      </c>
      <c r="Q78" s="186">
        <f>SUMIFS('Plan prihoda za unos u SAP'!$H$3:$H$501,'Plan prihoda za unos u SAP'!$C$3:$C$501,"=575",'Plan prihoda za unos u SAP'!$K$3:$K$501,"=841")</f>
        <v>0</v>
      </c>
      <c r="R78" s="186">
        <f>SUMIFS('Plan prihoda za unos u SAP'!$H$3:$H$501,'Plan prihoda za unos u SAP'!$C$3:$C$501,"=576",'Plan prihoda za unos u SAP'!$K$3:$K$501,"=841")</f>
        <v>0</v>
      </c>
      <c r="S78" s="186">
        <f>SUMIFS('Plan prihoda za unos u SAP'!$H$3:$H$501,'Plan prihoda za unos u SAP'!$C$3:$C$501,"=581",'Plan prihoda za unos u SAP'!$K$3:$K$501,"=841")</f>
        <v>0</v>
      </c>
      <c r="T78" s="186">
        <f>SUMIFS('Plan prihoda za unos u SAP'!$H$3:$H$501,'Plan prihoda za unos u SAP'!$C$3:$C$501,"=61",'Plan prihoda za unos u SAP'!$K$3:$K$501,"=841")</f>
        <v>0</v>
      </c>
      <c r="U78" s="186">
        <f>SUMIFS('Plan prihoda za unos u SAP'!$H$3:$H$501,'Plan prihoda za unos u SAP'!$C$3:$C$501,"=63",'Plan prihoda za unos u SAP'!$K$3:$K$501,"=841")</f>
        <v>0</v>
      </c>
      <c r="V78" s="186">
        <f>SUMIFS('Plan prihoda za unos u SAP'!$H$3:$H$501,'Plan prihoda za unos u SAP'!$C$3:$C$501,"=71",'Plan prihoda za unos u SAP'!$K$3:$K$501,"=841")</f>
        <v>0</v>
      </c>
      <c r="W78" s="186">
        <f>SUMIFS('Plan prihoda za unos u SAP'!$H$3:$H$501,'Plan prihoda za unos u SAP'!$C$3:$C$501,"=81",'Plan prihoda za unos u SAP'!$K$3:$K$501,"=841")</f>
        <v>0</v>
      </c>
    </row>
    <row r="79" spans="1:23" s="90" customFormat="1" ht="25.5">
      <c r="A79" s="90">
        <v>2022</v>
      </c>
      <c r="B79" s="101">
        <v>842</v>
      </c>
      <c r="C79" s="102" t="s">
        <v>317</v>
      </c>
      <c r="D79" s="70">
        <f t="shared" si="12"/>
        <v>0</v>
      </c>
      <c r="E79" s="185">
        <f>SUMIFS('Plan prihoda za unos u SAP'!$H$3:$H$501,'Plan prihoda za unos u SAP'!$C$3:$C$501,"=11",'Plan prihoda za unos u SAP'!$K$3:$K$501,"=842")</f>
        <v>0</v>
      </c>
      <c r="F79" s="185">
        <f>SUMIFS('Plan prihoda za unos u SAP'!$H$3:$H$501,'Plan prihoda za unos u SAP'!$C$3:$C$501,"=12",'Plan prihoda za unos u SAP'!$K$3:$K$501,"=842")</f>
        <v>0</v>
      </c>
      <c r="G79" s="185">
        <f>SUMIFS('Plan prihoda za unos u SAP'!$H$3:$H$501,'Plan prihoda za unos u SAP'!$C$3:$C$501,"=31",'Plan prihoda za unos u SAP'!$K$3:$K$501,"=842")</f>
        <v>0</v>
      </c>
      <c r="H79" s="185">
        <f>SUMIFS('Plan prihoda za unos u SAP'!$H$3:$H$501,'Plan prihoda za unos u SAP'!$C$3:$C$501,"=41",'Plan prihoda za unos u SAP'!$K$3:$K$501,"=842")</f>
        <v>0</v>
      </c>
      <c r="I79" s="185">
        <f>SUMIFS('Plan prihoda za unos u SAP'!$H$3:$H$501,'Plan prihoda za unos u SAP'!$C$3:$C$501,"=43",'Plan prihoda za unos u SAP'!$K$3:$K$501,"=842")</f>
        <v>0</v>
      </c>
      <c r="J79" s="185">
        <f>SUMIFS('Plan prihoda za unos u SAP'!$H$3:$H$501,'Plan prihoda za unos u SAP'!$C$3:$C$501,"=51",'Plan prihoda za unos u SAP'!$K$3:$K$501,"=842")</f>
        <v>0</v>
      </c>
      <c r="K79" s="185">
        <f>SUMIFS('Plan prihoda za unos u SAP'!$H$3:$H$501,'Plan prihoda za unos u SAP'!$C$3:$C$501,"=52",'Plan prihoda za unos u SAP'!$K$3:$K$501,"=842")</f>
        <v>0</v>
      </c>
      <c r="L79" s="185">
        <f>SUMIFS('Plan prihoda za unos u SAP'!$H$3:$H$501,'Plan prihoda za unos u SAP'!$C$3:$C$501,"=552",'Plan prihoda za unos u SAP'!$K$3:$K$501,"=842")</f>
        <v>0</v>
      </c>
      <c r="M79" s="185">
        <f>SUMIFS('Plan prihoda za unos u SAP'!$H$3:$H$501,'Plan prihoda za unos u SAP'!$C$3:$C$501,"=559",'Plan prihoda za unos u SAP'!$K$3:$K$501,"=842")</f>
        <v>0</v>
      </c>
      <c r="N79" s="185">
        <f>SUMIFS('Plan prihoda za unos u SAP'!$H$3:$H$501,'Plan prihoda za unos u SAP'!$C$3:$C$501,"=561",'Plan prihoda za unos u SAP'!$K$3:$K$501,"=842")</f>
        <v>0</v>
      </c>
      <c r="O79" s="185">
        <f>SUMIFS('Plan prihoda za unos u SAP'!$H$3:$H$501,'Plan prihoda za unos u SAP'!$C$3:$C$501,"=563",'Plan prihoda za unos u SAP'!$K$3:$K$501,"=842")</f>
        <v>0</v>
      </c>
      <c r="P79" s="185">
        <f>SUMIFS('Plan prihoda za unos u SAP'!$H$3:$H$501,'Plan prihoda za unos u SAP'!$C$3:$C$501,"=573",'Plan prihoda za unos u SAP'!$K$3:$K$501,"=842")</f>
        <v>0</v>
      </c>
      <c r="Q79" s="185">
        <f>SUMIFS('Plan prihoda za unos u SAP'!$H$3:$H$501,'Plan prihoda za unos u SAP'!$C$3:$C$501,"=575",'Plan prihoda za unos u SAP'!$K$3:$K$501,"=842")</f>
        <v>0</v>
      </c>
      <c r="R79" s="185">
        <f>SUMIFS('Plan prihoda za unos u SAP'!$H$3:$H$501,'Plan prihoda za unos u SAP'!$C$3:$C$501,"=576",'Plan prihoda za unos u SAP'!$K$3:$K$501,"=842")</f>
        <v>0</v>
      </c>
      <c r="S79" s="185">
        <f>SUMIFS('Plan prihoda za unos u SAP'!$H$3:$H$501,'Plan prihoda za unos u SAP'!$C$3:$C$501,"=581",'Plan prihoda za unos u SAP'!$K$3:$K$501,"=842")</f>
        <v>0</v>
      </c>
      <c r="T79" s="185">
        <f>SUMIFS('Plan prihoda za unos u SAP'!$H$3:$H$501,'Plan prihoda za unos u SAP'!$C$3:$C$501,"=61",'Plan prihoda za unos u SAP'!$K$3:$K$501,"=842")</f>
        <v>0</v>
      </c>
      <c r="U79" s="185">
        <f>SUMIFS('Plan prihoda za unos u SAP'!$H$3:$H$501,'Plan prihoda za unos u SAP'!$C$3:$C$501,"=63",'Plan prihoda za unos u SAP'!$K$3:$K$501,"=842")</f>
        <v>0</v>
      </c>
      <c r="V79" s="185">
        <f>SUMIFS('Plan prihoda za unos u SAP'!$H$3:$H$501,'Plan prihoda za unos u SAP'!$C$3:$C$501,"=71",'Plan prihoda za unos u SAP'!$K$3:$K$501,"=842")</f>
        <v>0</v>
      </c>
      <c r="W79" s="185">
        <f>SUMIFS('Plan prihoda za unos u SAP'!$H$3:$H$501,'Plan prihoda za unos u SAP'!$C$3:$C$501,"=81",'Plan prihoda za unos u SAP'!$K$3:$K$501,"=842")</f>
        <v>0</v>
      </c>
    </row>
    <row r="80" spans="1:23" s="90" customFormat="1">
      <c r="A80" s="90">
        <v>2022</v>
      </c>
      <c r="B80" s="98" t="s">
        <v>308</v>
      </c>
      <c r="C80" s="99" t="s">
        <v>300</v>
      </c>
      <c r="D80" s="70">
        <f t="shared" si="12"/>
        <v>0</v>
      </c>
      <c r="E80" s="4">
        <f>SUM(E75:E79)</f>
        <v>0</v>
      </c>
      <c r="F80" s="4">
        <f>SUM(F75:F79)</f>
        <v>0</v>
      </c>
      <c r="G80" s="4">
        <f t="shared" ref="G80:W80" si="20">SUM(G75:G79)</f>
        <v>0</v>
      </c>
      <c r="H80" s="4">
        <f t="shared" si="20"/>
        <v>0</v>
      </c>
      <c r="I80" s="4">
        <f t="shared" si="20"/>
        <v>0</v>
      </c>
      <c r="J80" s="4">
        <f t="shared" si="20"/>
        <v>0</v>
      </c>
      <c r="K80" s="4">
        <f t="shared" si="20"/>
        <v>0</v>
      </c>
      <c r="L80" s="4">
        <f t="shared" si="20"/>
        <v>0</v>
      </c>
      <c r="M80" s="4">
        <f t="shared" si="20"/>
        <v>0</v>
      </c>
      <c r="N80" s="4">
        <f t="shared" si="20"/>
        <v>0</v>
      </c>
      <c r="O80" s="4">
        <f t="shared" si="20"/>
        <v>0</v>
      </c>
      <c r="P80" s="4">
        <f t="shared" si="20"/>
        <v>0</v>
      </c>
      <c r="Q80" s="4">
        <f t="shared" si="20"/>
        <v>0</v>
      </c>
      <c r="R80" s="4">
        <f t="shared" si="20"/>
        <v>0</v>
      </c>
      <c r="S80" s="4">
        <f>SUM(S75:S79)</f>
        <v>0</v>
      </c>
      <c r="T80" s="4">
        <f t="shared" si="20"/>
        <v>0</v>
      </c>
      <c r="U80" s="4">
        <f t="shared" si="20"/>
        <v>0</v>
      </c>
      <c r="V80" s="4">
        <f t="shared" si="20"/>
        <v>0</v>
      </c>
      <c r="W80" s="4">
        <f t="shared" si="20"/>
        <v>0</v>
      </c>
    </row>
    <row r="81" spans="1:29" s="90" customFormat="1" ht="12.75" customHeight="1">
      <c r="A81" s="90">
        <v>2022</v>
      </c>
      <c r="B81" s="255" t="s">
        <v>309</v>
      </c>
      <c r="C81" s="255"/>
      <c r="D81" s="71">
        <f t="shared" si="12"/>
        <v>35191635</v>
      </c>
      <c r="E81" s="71">
        <f>+E80+E74+E67</f>
        <v>19803159</v>
      </c>
      <c r="F81" s="71">
        <f>+F80+F74+F67</f>
        <v>0</v>
      </c>
      <c r="G81" s="71">
        <f t="shared" ref="G81:W81" si="21">+G80+G74+G67</f>
        <v>719000</v>
      </c>
      <c r="H81" s="71">
        <f t="shared" si="21"/>
        <v>0</v>
      </c>
      <c r="I81" s="71">
        <f t="shared" si="21"/>
        <v>13843500</v>
      </c>
      <c r="J81" s="71">
        <f t="shared" si="21"/>
        <v>65000</v>
      </c>
      <c r="K81" s="71">
        <f t="shared" si="21"/>
        <v>578476</v>
      </c>
      <c r="L81" s="71">
        <f t="shared" si="21"/>
        <v>0</v>
      </c>
      <c r="M81" s="71">
        <f t="shared" si="21"/>
        <v>0</v>
      </c>
      <c r="N81" s="71">
        <f t="shared" si="21"/>
        <v>0</v>
      </c>
      <c r="O81" s="71">
        <f t="shared" si="21"/>
        <v>0</v>
      </c>
      <c r="P81" s="71">
        <f t="shared" si="21"/>
        <v>0</v>
      </c>
      <c r="Q81" s="71">
        <f t="shared" si="21"/>
        <v>0</v>
      </c>
      <c r="R81" s="71">
        <f t="shared" si="21"/>
        <v>0</v>
      </c>
      <c r="S81" s="71">
        <f>+S80+S74+S67</f>
        <v>0</v>
      </c>
      <c r="T81" s="71">
        <f t="shared" si="21"/>
        <v>180500</v>
      </c>
      <c r="U81" s="71">
        <f t="shared" si="21"/>
        <v>0</v>
      </c>
      <c r="V81" s="71">
        <f t="shared" si="21"/>
        <v>2000</v>
      </c>
      <c r="W81" s="71">
        <f t="shared" si="21"/>
        <v>0</v>
      </c>
    </row>
    <row r="82" spans="1:29">
      <c r="B82" s="62"/>
      <c r="C82" s="62"/>
      <c r="D82" s="62"/>
      <c r="E82" s="62"/>
      <c r="F82" s="62"/>
      <c r="G82" s="62"/>
      <c r="H82" s="62"/>
      <c r="I82" s="103"/>
      <c r="J82" s="104"/>
      <c r="K82" s="104"/>
      <c r="L82" s="104"/>
      <c r="M82" s="104"/>
      <c r="N82" s="104"/>
      <c r="O82" s="104"/>
      <c r="P82" s="104"/>
      <c r="Q82" s="104"/>
      <c r="R82" s="104"/>
      <c r="S82" s="91"/>
      <c r="W82" s="91"/>
    </row>
    <row r="83" spans="1:29" s="90" customFormat="1" ht="15.75">
      <c r="B83" s="278" t="s">
        <v>263</v>
      </c>
      <c r="C83" s="279"/>
      <c r="D83" s="280" t="s">
        <v>1989</v>
      </c>
      <c r="E83" s="281"/>
      <c r="F83" s="281"/>
      <c r="G83" s="281"/>
      <c r="H83" s="281"/>
      <c r="I83" s="28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281"/>
      <c r="U83" s="282"/>
      <c r="V83" s="207"/>
    </row>
    <row r="84" spans="1:29" s="90" customFormat="1" ht="89.25">
      <c r="A84" s="92" t="s">
        <v>1913</v>
      </c>
      <c r="B84" s="92" t="s">
        <v>264</v>
      </c>
      <c r="C84" s="92" t="s">
        <v>265</v>
      </c>
      <c r="D84" s="255" t="s">
        <v>266</v>
      </c>
      <c r="E84" s="240" t="s">
        <v>346</v>
      </c>
      <c r="F84" s="240" t="s">
        <v>318</v>
      </c>
      <c r="G84" s="241" t="s">
        <v>19</v>
      </c>
      <c r="H84" s="241" t="s">
        <v>1374</v>
      </c>
      <c r="I84" s="241" t="s">
        <v>20</v>
      </c>
      <c r="J84" s="241" t="s">
        <v>267</v>
      </c>
      <c r="K84" s="241" t="s">
        <v>268</v>
      </c>
      <c r="L84" s="241" t="s">
        <v>1375</v>
      </c>
      <c r="M84" s="241" t="s">
        <v>269</v>
      </c>
      <c r="N84" s="241" t="s">
        <v>270</v>
      </c>
      <c r="O84" s="241" t="s">
        <v>271</v>
      </c>
      <c r="P84" s="241" t="s">
        <v>1376</v>
      </c>
      <c r="Q84" s="241" t="s">
        <v>1377</v>
      </c>
      <c r="R84" s="241" t="s">
        <v>1909</v>
      </c>
      <c r="S84" s="93" t="s">
        <v>3493</v>
      </c>
      <c r="T84" s="93" t="s">
        <v>272</v>
      </c>
      <c r="U84" s="93" t="s">
        <v>273</v>
      </c>
      <c r="V84" s="93" t="s">
        <v>310</v>
      </c>
      <c r="W84" s="93" t="s">
        <v>1350</v>
      </c>
    </row>
    <row r="85" spans="1:29" s="90" customFormat="1">
      <c r="A85" s="90">
        <v>2023</v>
      </c>
      <c r="B85" s="95"/>
      <c r="C85" s="96" t="s">
        <v>11</v>
      </c>
      <c r="D85" s="70">
        <f t="shared" ref="D85:D121" si="22">SUM(E85:W85)</f>
        <v>11908103</v>
      </c>
      <c r="E85" s="185">
        <f>-E47</f>
        <v>0</v>
      </c>
      <c r="F85" s="185">
        <f>-F47</f>
        <v>0</v>
      </c>
      <c r="G85" s="185">
        <f t="shared" ref="G85:W85" si="23">-G47</f>
        <v>206000</v>
      </c>
      <c r="H85" s="185">
        <f t="shared" si="23"/>
        <v>0</v>
      </c>
      <c r="I85" s="185">
        <f t="shared" si="23"/>
        <v>11646103</v>
      </c>
      <c r="J85" s="185">
        <f t="shared" si="23"/>
        <v>0</v>
      </c>
      <c r="K85" s="185">
        <f t="shared" si="23"/>
        <v>0</v>
      </c>
      <c r="L85" s="185">
        <f t="shared" si="23"/>
        <v>0</v>
      </c>
      <c r="M85" s="185">
        <f t="shared" si="23"/>
        <v>0</v>
      </c>
      <c r="N85" s="185">
        <f t="shared" si="23"/>
        <v>0</v>
      </c>
      <c r="O85" s="185">
        <f t="shared" si="23"/>
        <v>0</v>
      </c>
      <c r="P85" s="185">
        <f t="shared" si="23"/>
        <v>0</v>
      </c>
      <c r="Q85" s="185">
        <f t="shared" si="23"/>
        <v>0</v>
      </c>
      <c r="R85" s="185">
        <f t="shared" si="23"/>
        <v>0</v>
      </c>
      <c r="S85" s="185">
        <f>-S47</f>
        <v>0</v>
      </c>
      <c r="T85" s="185">
        <f t="shared" si="23"/>
        <v>0</v>
      </c>
      <c r="U85" s="185">
        <f t="shared" si="23"/>
        <v>0</v>
      </c>
      <c r="V85" s="185">
        <f t="shared" si="23"/>
        <v>56000</v>
      </c>
      <c r="W85" s="185">
        <f t="shared" si="23"/>
        <v>0</v>
      </c>
      <c r="X85" s="94"/>
      <c r="Y85" s="94"/>
      <c r="Z85" s="94"/>
      <c r="AA85" s="94"/>
      <c r="AB85" s="94"/>
      <c r="AC85" s="94"/>
    </row>
    <row r="86" spans="1:29" s="90" customFormat="1">
      <c r="A86" s="90">
        <v>2023</v>
      </c>
      <c r="B86" s="114"/>
      <c r="C86" s="115" t="s">
        <v>342</v>
      </c>
      <c r="D86" s="70">
        <f t="shared" si="22"/>
        <v>35409600</v>
      </c>
      <c r="E86" s="14">
        <f t="shared" ref="E86:W86" si="24">+E107+E114</f>
        <v>19803100</v>
      </c>
      <c r="F86" s="14">
        <f t="shared" si="24"/>
        <v>0</v>
      </c>
      <c r="G86" s="14">
        <f t="shared" si="24"/>
        <v>718000</v>
      </c>
      <c r="H86" s="14">
        <f>+H107+H114</f>
        <v>0</v>
      </c>
      <c r="I86" s="14">
        <f t="shared" si="24"/>
        <v>14595500</v>
      </c>
      <c r="J86" s="14">
        <f t="shared" si="24"/>
        <v>0</v>
      </c>
      <c r="K86" s="14">
        <f t="shared" si="24"/>
        <v>145500</v>
      </c>
      <c r="L86" s="14">
        <f>+L107+L114</f>
        <v>0</v>
      </c>
      <c r="M86" s="14">
        <f t="shared" si="24"/>
        <v>0</v>
      </c>
      <c r="N86" s="14">
        <f t="shared" si="24"/>
        <v>0</v>
      </c>
      <c r="O86" s="14">
        <f t="shared" si="24"/>
        <v>0</v>
      </c>
      <c r="P86" s="14">
        <f>+P107+P114</f>
        <v>0</v>
      </c>
      <c r="Q86" s="14">
        <f>+Q107+Q114</f>
        <v>0</v>
      </c>
      <c r="R86" s="14">
        <f>+R107+R114</f>
        <v>0</v>
      </c>
      <c r="S86" s="14">
        <f>+S107+S114</f>
        <v>0</v>
      </c>
      <c r="T86" s="14">
        <f t="shared" si="24"/>
        <v>145500</v>
      </c>
      <c r="U86" s="14">
        <f t="shared" si="24"/>
        <v>0</v>
      </c>
      <c r="V86" s="14">
        <f t="shared" si="24"/>
        <v>2000</v>
      </c>
      <c r="W86" s="14">
        <f t="shared" si="24"/>
        <v>0</v>
      </c>
    </row>
    <row r="87" spans="1:29" s="90" customFormat="1">
      <c r="A87" s="90">
        <v>2023</v>
      </c>
      <c r="B87" s="95"/>
      <c r="C87" s="96" t="s">
        <v>345</v>
      </c>
      <c r="D87" s="70">
        <f t="shared" si="22"/>
        <v>-12020462</v>
      </c>
      <c r="E87" s="113"/>
      <c r="F87" s="113"/>
      <c r="G87" s="113">
        <v>-115000</v>
      </c>
      <c r="H87" s="113"/>
      <c r="I87" s="113">
        <v>-11847462</v>
      </c>
      <c r="J87" s="113"/>
      <c r="K87" s="113"/>
      <c r="L87" s="113"/>
      <c r="M87" s="3"/>
      <c r="N87" s="113"/>
      <c r="O87" s="113"/>
      <c r="P87" s="113"/>
      <c r="Q87" s="113"/>
      <c r="R87" s="113"/>
      <c r="S87" s="113"/>
      <c r="T87" s="113"/>
      <c r="U87" s="113"/>
      <c r="V87" s="113">
        <v>-58000</v>
      </c>
      <c r="W87" s="113"/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274</v>
      </c>
      <c r="D88" s="70">
        <f t="shared" si="22"/>
        <v>35297241</v>
      </c>
      <c r="E88" s="14">
        <f>+E85+E86+E87</f>
        <v>19803100</v>
      </c>
      <c r="F88" s="14">
        <f t="shared" ref="F88:W88" si="25">+F85+F86+F87</f>
        <v>0</v>
      </c>
      <c r="G88" s="14">
        <f t="shared" si="25"/>
        <v>809000</v>
      </c>
      <c r="H88" s="14">
        <f>+H85+H86+H87</f>
        <v>0</v>
      </c>
      <c r="I88" s="14">
        <f t="shared" si="25"/>
        <v>14394141</v>
      </c>
      <c r="J88" s="14">
        <f t="shared" si="25"/>
        <v>0</v>
      </c>
      <c r="K88" s="14">
        <f t="shared" si="25"/>
        <v>145500</v>
      </c>
      <c r="L88" s="14">
        <f>+L85+L86+L87</f>
        <v>0</v>
      </c>
      <c r="M88" s="14">
        <f t="shared" si="25"/>
        <v>0</v>
      </c>
      <c r="N88" s="14">
        <f t="shared" si="25"/>
        <v>0</v>
      </c>
      <c r="O88" s="14">
        <f t="shared" si="25"/>
        <v>0</v>
      </c>
      <c r="P88" s="14">
        <f>+P85+P86+P87</f>
        <v>0</v>
      </c>
      <c r="Q88" s="14">
        <f>+Q85+Q86+Q87</f>
        <v>0</v>
      </c>
      <c r="R88" s="14">
        <f>+R85+R86+R87</f>
        <v>0</v>
      </c>
      <c r="S88" s="14">
        <f>+S85+S86+S87</f>
        <v>0</v>
      </c>
      <c r="T88" s="14">
        <f t="shared" si="25"/>
        <v>145500</v>
      </c>
      <c r="U88" s="14">
        <f t="shared" si="25"/>
        <v>0</v>
      </c>
      <c r="V88" s="14">
        <f t="shared" si="25"/>
        <v>0</v>
      </c>
      <c r="W88" s="14">
        <f t="shared" si="25"/>
        <v>0</v>
      </c>
    </row>
    <row r="89" spans="1:29" s="90" customFormat="1">
      <c r="A89" s="90">
        <v>2023</v>
      </c>
      <c r="B89" s="111"/>
      <c r="C89" s="112" t="s">
        <v>229</v>
      </c>
      <c r="D89" s="70">
        <f t="shared" si="22"/>
        <v>35297241</v>
      </c>
      <c r="E89" s="134">
        <f>+'PLAN RASHODA I IZDATAKA'!E91</f>
        <v>19803100</v>
      </c>
      <c r="F89" s="134">
        <f>+'PLAN RASHODA I IZDATAKA'!F91</f>
        <v>0</v>
      </c>
      <c r="G89" s="134">
        <f>+'PLAN RASHODA I IZDATAKA'!G91</f>
        <v>809000</v>
      </c>
      <c r="H89" s="134">
        <f>+'PLAN RASHODA I IZDATAKA'!H91</f>
        <v>0</v>
      </c>
      <c r="I89" s="134">
        <f>+'PLAN RASHODA I IZDATAKA'!I91</f>
        <v>14394141</v>
      </c>
      <c r="J89" s="134">
        <f>+'PLAN RASHODA I IZDATAKA'!J91</f>
        <v>0</v>
      </c>
      <c r="K89" s="134">
        <f>+'PLAN RASHODA I IZDATAKA'!K91</f>
        <v>145500</v>
      </c>
      <c r="L89" s="134">
        <f>+'PLAN RASHODA I IZDATAKA'!L91</f>
        <v>0</v>
      </c>
      <c r="M89" s="134">
        <f>+'PLAN RASHODA I IZDATAKA'!M91</f>
        <v>0</v>
      </c>
      <c r="N89" s="134">
        <f>+'PLAN RASHODA I IZDATAKA'!N91</f>
        <v>0</v>
      </c>
      <c r="O89" s="134">
        <f>+'PLAN RASHODA I IZDATAKA'!O91</f>
        <v>0</v>
      </c>
      <c r="P89" s="134">
        <f>+'PLAN RASHODA I IZDATAKA'!P91</f>
        <v>0</v>
      </c>
      <c r="Q89" s="134">
        <f>+'PLAN RASHODA I IZDATAKA'!Q91</f>
        <v>0</v>
      </c>
      <c r="R89" s="134">
        <f>+'PLAN RASHODA I IZDATAKA'!R91</f>
        <v>0</v>
      </c>
      <c r="S89" s="134">
        <f>+'PLAN RASHODA I IZDATAKA'!S91</f>
        <v>0</v>
      </c>
      <c r="T89" s="134">
        <f>+'PLAN RASHODA I IZDATAKA'!T91</f>
        <v>145500</v>
      </c>
      <c r="U89" s="134">
        <f>+'PLAN RASHODA I IZDATAKA'!U91</f>
        <v>0</v>
      </c>
      <c r="V89" s="134">
        <f>+'PLAN RASHODA I IZDATAKA'!V91</f>
        <v>0</v>
      </c>
      <c r="W89" s="134">
        <f>+'PLAN RASHODA I IZDATAKA'!W91</f>
        <v>0</v>
      </c>
      <c r="X89" s="94"/>
      <c r="Y89" s="94"/>
      <c r="Z89" s="94"/>
      <c r="AA89" s="94"/>
      <c r="AB89" s="94"/>
      <c r="AC89" s="94"/>
    </row>
    <row r="90" spans="1:29" s="90" customFormat="1" ht="13.5" thickBot="1">
      <c r="A90" s="90">
        <v>2023</v>
      </c>
      <c r="B90" s="116"/>
      <c r="C90" s="117" t="s">
        <v>344</v>
      </c>
      <c r="D90" s="69">
        <f t="shared" si="22"/>
        <v>0</v>
      </c>
      <c r="E90" s="118">
        <f>+E88-E89</f>
        <v>0</v>
      </c>
      <c r="F90" s="118">
        <f t="shared" ref="F90:W90" si="26">+F88-F89</f>
        <v>0</v>
      </c>
      <c r="G90" s="118">
        <f t="shared" si="26"/>
        <v>0</v>
      </c>
      <c r="H90" s="118">
        <f>+H88-H89</f>
        <v>0</v>
      </c>
      <c r="I90" s="118">
        <f t="shared" si="26"/>
        <v>0</v>
      </c>
      <c r="J90" s="118">
        <f t="shared" si="26"/>
        <v>0</v>
      </c>
      <c r="K90" s="118">
        <f t="shared" si="26"/>
        <v>0</v>
      </c>
      <c r="L90" s="118">
        <f>+L88-L89</f>
        <v>0</v>
      </c>
      <c r="M90" s="118">
        <f t="shared" si="26"/>
        <v>0</v>
      </c>
      <c r="N90" s="118">
        <f t="shared" si="26"/>
        <v>0</v>
      </c>
      <c r="O90" s="118">
        <f t="shared" si="26"/>
        <v>0</v>
      </c>
      <c r="P90" s="118">
        <f>+P88-P89</f>
        <v>0</v>
      </c>
      <c r="Q90" s="118">
        <f>+Q88-Q89</f>
        <v>0</v>
      </c>
      <c r="R90" s="118">
        <f>+R88-R89</f>
        <v>0</v>
      </c>
      <c r="S90" s="118">
        <f>+S88-S89</f>
        <v>0</v>
      </c>
      <c r="T90" s="118">
        <f t="shared" si="26"/>
        <v>0</v>
      </c>
      <c r="U90" s="118">
        <f t="shared" si="26"/>
        <v>0</v>
      </c>
      <c r="V90" s="118">
        <f t="shared" si="26"/>
        <v>0</v>
      </c>
      <c r="W90" s="118">
        <f t="shared" si="26"/>
        <v>0</v>
      </c>
    </row>
    <row r="91" spans="1:29" s="90" customFormat="1">
      <c r="A91" s="90">
        <v>2023</v>
      </c>
      <c r="B91" s="97" t="s">
        <v>1379</v>
      </c>
      <c r="C91" s="110" t="s">
        <v>1380</v>
      </c>
      <c r="D91" s="70">
        <f t="shared" si="22"/>
        <v>0</v>
      </c>
      <c r="E91" s="186">
        <f>SUMIFS('Plan prihoda za unos u SAP'!$I$3:$I$501,'Plan prihoda za unos u SAP'!$C$3:$C$501,"=11",'Plan prihoda za unos u SAP'!$K$3:$K$501,"=614")</f>
        <v>0</v>
      </c>
      <c r="F91" s="186">
        <f>SUMIFS('Plan prihoda za unos u SAP'!$I$3:$I$501,'Plan prihoda za unos u SAP'!$C$3:$C$501,"=12",'Plan prihoda za unos u SAP'!$K$3:$K$501,"=614")</f>
        <v>0</v>
      </c>
      <c r="G91" s="186">
        <f>SUMIFS('Plan prihoda za unos u SAP'!$I$3:$I$501,'Plan prihoda za unos u SAP'!$C$3:$C$501,"=31",'Plan prihoda za unos u SAP'!$K$3:$K$501,"=614")</f>
        <v>0</v>
      </c>
      <c r="H91" s="186">
        <f>SUMIFS('Plan prihoda za unos u SAP'!$I$3:$I$501,'Plan prihoda za unos u SAP'!$C$3:$C$501,"=41",'Plan prihoda za unos u SAP'!$K$3:$K$501,"=614")</f>
        <v>0</v>
      </c>
      <c r="I91" s="186">
        <f>SUMIFS('Plan prihoda za unos u SAP'!$I$3:$I$501,'Plan prihoda za unos u SAP'!$C$3:$C$501,"=43",'Plan prihoda za unos u SAP'!$K$3:$K$501,"=614")</f>
        <v>0</v>
      </c>
      <c r="J91" s="186">
        <f>SUMIFS('Plan prihoda za unos u SAP'!$I$3:$I$501,'Plan prihoda za unos u SAP'!$C$3:$C$501,"=51",'Plan prihoda za unos u SAP'!$K$3:$K$501,"=614")</f>
        <v>0</v>
      </c>
      <c r="K91" s="186">
        <f>SUMIFS('Plan prihoda za unos u SAP'!$I$3:$I$501,'Plan prihoda za unos u SAP'!$C$3:$C$501,"=52",'Plan prihoda za unos u SAP'!$K$3:$K$501,"=614")</f>
        <v>0</v>
      </c>
      <c r="L91" s="186">
        <f>SUMIFS('Plan prihoda za unos u SAP'!$I$3:$I$501,'Plan prihoda za unos u SAP'!$C$3:$C$501,"=552",'Plan prihoda za unos u SAP'!$K$3:$K$501,"=614")</f>
        <v>0</v>
      </c>
      <c r="M91" s="186">
        <f>SUMIFS('Plan prihoda za unos u SAP'!$I$3:$I$501,'Plan prihoda za unos u SAP'!$C$3:$C$501,"=559",'Plan prihoda za unos u SAP'!$K$3:$K$501,"=614")</f>
        <v>0</v>
      </c>
      <c r="N91" s="186">
        <f>SUMIFS('Plan prihoda za unos u SAP'!$I$3:$I$501,'Plan prihoda za unos u SAP'!$C$3:$C$501,"=561",'Plan prihoda za unos u SAP'!$K$3:$K$501,"=614")</f>
        <v>0</v>
      </c>
      <c r="O91" s="186">
        <f>SUMIFS('Plan prihoda za unos u SAP'!$I$3:$I$501,'Plan prihoda za unos u SAP'!$C$3:$C$501,"=563",'Plan prihoda za unos u SAP'!$K$3:$K$501,"=614")</f>
        <v>0</v>
      </c>
      <c r="P91" s="186">
        <f>SUMIFS('Plan prihoda za unos u SAP'!$I$3:$I$501,'Plan prihoda za unos u SAP'!$C$3:$C$501,"=573",'Plan prihoda za unos u SAP'!$K$3:$K$501,"=614")</f>
        <v>0</v>
      </c>
      <c r="Q91" s="186">
        <f>SUMIFS('Plan prihoda za unos u SAP'!$I$3:$I$501,'Plan prihoda za unos u SAP'!$C$3:$C$501,"=575",'Plan prihoda za unos u SAP'!$K$3:$K$501,"=614")</f>
        <v>0</v>
      </c>
      <c r="R91" s="186">
        <f>SUMIFS('Plan prihoda za unos u SAP'!$I$3:$I$501,'Plan prihoda za unos u SAP'!$C$3:$C$501,"=576",'Plan prihoda za unos u SAP'!$K$3:$K$501,"=614")</f>
        <v>0</v>
      </c>
      <c r="S91" s="186">
        <f>SUMIFS('Plan prihoda za unos u SAP'!$I$3:$I$501,'Plan prihoda za unos u SAP'!$C$3:$C$501,"=581",'Plan prihoda za unos u SAP'!$K$3:$K$501,"=614")</f>
        <v>0</v>
      </c>
      <c r="T91" s="186">
        <f>SUMIFS('Plan prihoda za unos u SAP'!$I$3:$I$501,'Plan prihoda za unos u SAP'!$C$3:$C$501,"=61",'Plan prihoda za unos u SAP'!$K$3:$K$501,"=614")</f>
        <v>0</v>
      </c>
      <c r="U91" s="186">
        <f>SUMIFS('Plan prihoda za unos u SAP'!$I$3:$I$501,'Plan prihoda za unos u SAP'!$C$3:$C$501,"=63",'Plan prihoda za unos u SAP'!$K$3:$K$501,"=614")</f>
        <v>0</v>
      </c>
      <c r="V91" s="186">
        <f>SUMIFS('Plan prihoda za unos u SAP'!$I$3:$I$501,'Plan prihoda za unos u SAP'!$C$3:$C$501,"=71",'Plan prihoda za unos u SAP'!$K$3:$K$501,"=614")</f>
        <v>0</v>
      </c>
      <c r="W91" s="186">
        <f>SUMIFS('Plan prihoda za unos u SAP'!$I$3:$I$501,'Plan prihoda za unos u SAP'!$C$3:$C$501,"=81",'Plan prihoda za unos u SAP'!$K$3:$K$501,"=614")</f>
        <v>0</v>
      </c>
    </row>
    <row r="92" spans="1:29" s="90" customFormat="1">
      <c r="A92" s="90">
        <v>2023</v>
      </c>
      <c r="B92" s="97" t="s">
        <v>275</v>
      </c>
      <c r="C92" s="96" t="s">
        <v>276</v>
      </c>
      <c r="D92" s="70">
        <f t="shared" si="22"/>
        <v>0</v>
      </c>
      <c r="E92" s="186">
        <f>SUMIFS('Plan prihoda za unos u SAP'!$I$3:$I$501,'Plan prihoda za unos u SAP'!$C$3:$C$501,"=11",'Plan prihoda za unos u SAP'!$K$3:$K$501,"=631")</f>
        <v>0</v>
      </c>
      <c r="F92" s="186">
        <f>SUMIFS('Plan prihoda za unos u SAP'!$I$3:$I$501,'Plan prihoda za unos u SAP'!$C$3:$C$501,"=12",'Plan prihoda za unos u SAP'!$K$3:$K$501,"=631")</f>
        <v>0</v>
      </c>
      <c r="G92" s="186">
        <f>SUMIFS('Plan prihoda za unos u SAP'!$I$3:$I$501,'Plan prihoda za unos u SAP'!$C$3:$C$501,"=31",'Plan prihoda za unos u SAP'!$K$3:$K$501,"=631")</f>
        <v>0</v>
      </c>
      <c r="H92" s="186">
        <f>SUMIFS('Plan prihoda za unos u SAP'!$I$3:$I$501,'Plan prihoda za unos u SAP'!$C$3:$C$501,"=41",'Plan prihoda za unos u SAP'!$K$3:$K$501,"=631")</f>
        <v>0</v>
      </c>
      <c r="I92" s="186">
        <f>SUMIFS('Plan prihoda za unos u SAP'!$I$3:$I$501,'Plan prihoda za unos u SAP'!$C$3:$C$501,"=43",'Plan prihoda za unos u SAP'!$K$3:$K$501,"=631")</f>
        <v>0</v>
      </c>
      <c r="J92" s="186">
        <f>SUMIFS('Plan prihoda za unos u SAP'!$I$3:$I$501,'Plan prihoda za unos u SAP'!$C$3:$C$501,"=51",'Plan prihoda za unos u SAP'!$K$3:$K$501,"=631")</f>
        <v>0</v>
      </c>
      <c r="K92" s="186">
        <f>SUMIFS('Plan prihoda za unos u SAP'!$I$3:$I$501,'Plan prihoda za unos u SAP'!$C$3:$C$501,"=52",'Plan prihoda za unos u SAP'!$K$3:$K$501,"=631")</f>
        <v>0</v>
      </c>
      <c r="L92" s="186">
        <f>SUMIFS('Plan prihoda za unos u SAP'!$I$3:$I$501,'Plan prihoda za unos u SAP'!$C$3:$C$501,"=552",'Plan prihoda za unos u SAP'!$K$3:$K$501,"=631")</f>
        <v>0</v>
      </c>
      <c r="M92" s="186">
        <f>SUMIFS('Plan prihoda za unos u SAP'!$I$3:$I$501,'Plan prihoda za unos u SAP'!$C$3:$C$501,"=559",'Plan prihoda za unos u SAP'!$K$3:$K$501,"=631")</f>
        <v>0</v>
      </c>
      <c r="N92" s="186">
        <f>SUMIFS('Plan prihoda za unos u SAP'!$I$3:$I$501,'Plan prihoda za unos u SAP'!$C$3:$C$501,"=561",'Plan prihoda za unos u SAP'!$K$3:$K$501,"=631")</f>
        <v>0</v>
      </c>
      <c r="O92" s="186">
        <f>SUMIFS('Plan prihoda za unos u SAP'!$I$3:$I$501,'Plan prihoda za unos u SAP'!$C$3:$C$501,"=563",'Plan prihoda za unos u SAP'!$K$3:$K$501,"=631")</f>
        <v>0</v>
      </c>
      <c r="P92" s="186">
        <f>SUMIFS('Plan prihoda za unos u SAP'!$I$3:$I$501,'Plan prihoda za unos u SAP'!$C$3:$C$501,"=573",'Plan prihoda za unos u SAP'!$K$3:$K$501,"=631")</f>
        <v>0</v>
      </c>
      <c r="Q92" s="186">
        <f>SUMIFS('Plan prihoda za unos u SAP'!$I$3:$I$501,'Plan prihoda za unos u SAP'!$C$3:$C$501,"=575",'Plan prihoda za unos u SAP'!$K$3:$K$501,"=631")</f>
        <v>0</v>
      </c>
      <c r="R92" s="186">
        <f>SUMIFS('Plan prihoda za unos u SAP'!$I$3:$I$501,'Plan prihoda za unos u SAP'!$C$3:$C$501,"=576",'Plan prihoda za unos u SAP'!$K$3:$K$501,"=631")</f>
        <v>0</v>
      </c>
      <c r="S92" s="186">
        <f>SUMIFS('Plan prihoda za unos u SAP'!$I$3:$I$501,'Plan prihoda za unos u SAP'!$C$3:$C$501,"=581",'Plan prihoda za unos u SAP'!$K$3:$K$501,"=631")</f>
        <v>0</v>
      </c>
      <c r="T92" s="186">
        <f>SUMIFS('Plan prihoda za unos u SAP'!$I$3:$I$501,'Plan prihoda za unos u SAP'!$C$3:$C$501,"=61",'Plan prihoda za unos u SAP'!$K$3:$K$501,"=631")</f>
        <v>0</v>
      </c>
      <c r="U92" s="186">
        <f>SUMIFS('Plan prihoda za unos u SAP'!$I$3:$I$501,'Plan prihoda za unos u SAP'!$C$3:$C$501,"=63",'Plan prihoda za unos u SAP'!$K$3:$K$501,"=631")</f>
        <v>0</v>
      </c>
      <c r="V92" s="186">
        <f>SUMIFS('Plan prihoda za unos u SAP'!$I$3:$I$501,'Plan prihoda za unos u SAP'!$C$3:$C$501,"=71",'Plan prihoda za unos u SAP'!$K$3:$K$501,"=631")</f>
        <v>0</v>
      </c>
      <c r="W92" s="186">
        <f>SUMIFS('Plan prihoda za unos u SAP'!$I$3:$I$501,'Plan prihoda za unos u SAP'!$C$3:$C$501,"=81",'Plan prihoda za unos u SAP'!$K$3:$K$501,"=631")</f>
        <v>0</v>
      </c>
    </row>
    <row r="93" spans="1:29" s="90" customFormat="1">
      <c r="A93" s="90">
        <v>2023</v>
      </c>
      <c r="B93" s="95" t="s">
        <v>277</v>
      </c>
      <c r="C93" s="96" t="s">
        <v>278</v>
      </c>
      <c r="D93" s="70">
        <f t="shared" si="22"/>
        <v>0</v>
      </c>
      <c r="E93" s="186">
        <f>SUMIFS('Plan prihoda za unos u SAP'!$I$3:$I$501,'Plan prihoda za unos u SAP'!$C$3:$C$501,"=11",'Plan prihoda za unos u SAP'!$K$3:$K$501,"=632")</f>
        <v>0</v>
      </c>
      <c r="F93" s="186">
        <f>SUMIFS('Plan prihoda za unos u SAP'!$I$3:$I$501,'Plan prihoda za unos u SAP'!$C$3:$C$501,"=12",'Plan prihoda za unos u SAP'!$K$3:$K$501,"=632")</f>
        <v>0</v>
      </c>
      <c r="G93" s="186">
        <f>SUMIFS('Plan prihoda za unos u SAP'!$I$3:$I$501,'Plan prihoda za unos u SAP'!$C$3:$C$501,"=31",'Plan prihoda za unos u SAP'!$K$3:$K$501,"=632")</f>
        <v>0</v>
      </c>
      <c r="H93" s="186">
        <f>SUMIFS('Plan prihoda za unos u SAP'!$I$3:$I$501,'Plan prihoda za unos u SAP'!$C$3:$C$501,"=41",'Plan prihoda za unos u SAP'!$K$3:$K$501,"=632")</f>
        <v>0</v>
      </c>
      <c r="I93" s="186">
        <f>SUMIFS('Plan prihoda za unos u SAP'!$I$3:$I$501,'Plan prihoda za unos u SAP'!$C$3:$C$501,"=43",'Plan prihoda za unos u SAP'!$K$3:$K$501,"=632")</f>
        <v>0</v>
      </c>
      <c r="J93" s="186">
        <f>SUMIFS('Plan prihoda za unos u SAP'!$I$3:$I$501,'Plan prihoda za unos u SAP'!$C$3:$C$501,"=51",'Plan prihoda za unos u SAP'!$K$3:$K$501,"=632")</f>
        <v>0</v>
      </c>
      <c r="K93" s="186">
        <f>SUMIFS('Plan prihoda za unos u SAP'!$I$3:$I$501,'Plan prihoda za unos u SAP'!$C$3:$C$501,"=52",'Plan prihoda za unos u SAP'!$K$3:$K$501,"=632")</f>
        <v>0</v>
      </c>
      <c r="L93" s="186">
        <f>SUMIFS('Plan prihoda za unos u SAP'!$I$3:$I$501,'Plan prihoda za unos u SAP'!$C$3:$C$501,"=552",'Plan prihoda za unos u SAP'!$K$3:$K$501,"=632")</f>
        <v>0</v>
      </c>
      <c r="M93" s="186">
        <f>SUMIFS('Plan prihoda za unos u SAP'!$I$3:$I$501,'Plan prihoda za unos u SAP'!$C$3:$C$501,"=559",'Plan prihoda za unos u SAP'!$K$3:$K$501,"=632")</f>
        <v>0</v>
      </c>
      <c r="N93" s="186">
        <f>SUMIFS('Plan prihoda za unos u SAP'!$I$3:$I$501,'Plan prihoda za unos u SAP'!$C$3:$C$501,"=561",'Plan prihoda za unos u SAP'!$K$3:$K$501,"=632")</f>
        <v>0</v>
      </c>
      <c r="O93" s="186">
        <f>SUMIFS('Plan prihoda za unos u SAP'!$I$3:$I$501,'Plan prihoda za unos u SAP'!$C$3:$C$501,"=563",'Plan prihoda za unos u SAP'!$K$3:$K$501,"=632")</f>
        <v>0</v>
      </c>
      <c r="P93" s="186">
        <f>SUMIFS('Plan prihoda za unos u SAP'!$I$3:$I$501,'Plan prihoda za unos u SAP'!$C$3:$C$501,"=573",'Plan prihoda za unos u SAP'!$K$3:$K$501,"=632")</f>
        <v>0</v>
      </c>
      <c r="Q93" s="186">
        <f>SUMIFS('Plan prihoda za unos u SAP'!$I$3:$I$501,'Plan prihoda za unos u SAP'!$C$3:$C$501,"=575",'Plan prihoda za unos u SAP'!$K$3:$K$501,"=632")</f>
        <v>0</v>
      </c>
      <c r="R93" s="186">
        <f>SUMIFS('Plan prihoda za unos u SAP'!$I$3:$I$501,'Plan prihoda za unos u SAP'!$C$3:$C$501,"=576",'Plan prihoda za unos u SAP'!$K$3:$K$501,"=632")</f>
        <v>0</v>
      </c>
      <c r="S93" s="186">
        <f>SUMIFS('Plan prihoda za unos u SAP'!$I$3:$I$501,'Plan prihoda za unos u SAP'!$C$3:$C$501,"=581",'Plan prihoda za unos u SAP'!$K$3:$K$501,"=632")</f>
        <v>0</v>
      </c>
      <c r="T93" s="186">
        <f>SUMIFS('Plan prihoda za unos u SAP'!$I$3:$I$501,'Plan prihoda za unos u SAP'!$C$3:$C$501,"=61",'Plan prihoda za unos u SAP'!$K$3:$K$501,"=632")</f>
        <v>0</v>
      </c>
      <c r="U93" s="186">
        <f>SUMIFS('Plan prihoda za unos u SAP'!$I$3:$I$501,'Plan prihoda za unos u SAP'!$C$3:$C$501,"=63",'Plan prihoda za unos u SAP'!$K$3:$K$501,"=632")</f>
        <v>0</v>
      </c>
      <c r="V93" s="186">
        <f>SUMIFS('Plan prihoda za unos u SAP'!$I$3:$I$501,'Plan prihoda za unos u SAP'!$C$3:$C$501,"=71",'Plan prihoda za unos u SAP'!$K$3:$K$501,"=632")</f>
        <v>0</v>
      </c>
      <c r="W93" s="186">
        <f>SUMIFS('Plan prihoda za unos u SAP'!$I$3:$I$501,'Plan prihoda za unos u SAP'!$C$3:$C$501,"=81",'Plan prihoda za unos u SAP'!$K$3:$K$501,"=632")</f>
        <v>0</v>
      </c>
    </row>
    <row r="94" spans="1:29" s="90" customFormat="1">
      <c r="A94" s="90">
        <v>2023</v>
      </c>
      <c r="B94" s="95" t="s">
        <v>279</v>
      </c>
      <c r="C94" s="96" t="s">
        <v>280</v>
      </c>
      <c r="D94" s="70">
        <f t="shared" si="22"/>
        <v>0</v>
      </c>
      <c r="E94" s="186">
        <f>SUMIFS('Plan prihoda za unos u SAP'!$I$3:$I$501,'Plan prihoda za unos u SAP'!$C$3:$C$501,"=11",'Plan prihoda za unos u SAP'!$K$3:$K$501,"=634")</f>
        <v>0</v>
      </c>
      <c r="F94" s="186">
        <f>SUMIFS('Plan prihoda za unos u SAP'!$I$3:$I$501,'Plan prihoda za unos u SAP'!$C$3:$C$501,"=12",'Plan prihoda za unos u SAP'!$K$3:$K$501,"=634")</f>
        <v>0</v>
      </c>
      <c r="G94" s="186">
        <f>SUMIFS('Plan prihoda za unos u SAP'!$I$3:$I$501,'Plan prihoda za unos u SAP'!$C$3:$C$501,"=31",'Plan prihoda za unos u SAP'!$K$3:$K$501,"=634")</f>
        <v>0</v>
      </c>
      <c r="H94" s="186">
        <f>SUMIFS('Plan prihoda za unos u SAP'!$I$3:$I$501,'Plan prihoda za unos u SAP'!$C$3:$C$501,"=41",'Plan prihoda za unos u SAP'!$K$3:$K$501,"=634")</f>
        <v>0</v>
      </c>
      <c r="I94" s="186">
        <f>SUMIFS('Plan prihoda za unos u SAP'!$I$3:$I$501,'Plan prihoda za unos u SAP'!$C$3:$C$501,"=43",'Plan prihoda za unos u SAP'!$K$3:$K$501,"=634")</f>
        <v>0</v>
      </c>
      <c r="J94" s="186">
        <f>SUMIFS('Plan prihoda za unos u SAP'!$I$3:$I$501,'Plan prihoda za unos u SAP'!$C$3:$C$501,"=51",'Plan prihoda za unos u SAP'!$K$3:$K$501,"=634")</f>
        <v>0</v>
      </c>
      <c r="K94" s="186">
        <f>SUMIFS('Plan prihoda za unos u SAP'!$I$3:$I$501,'Plan prihoda za unos u SAP'!$C$3:$C$501,"=52",'Plan prihoda za unos u SAP'!$K$3:$K$501,"=634")</f>
        <v>0</v>
      </c>
      <c r="L94" s="186">
        <f>SUMIFS('Plan prihoda za unos u SAP'!$I$3:$I$501,'Plan prihoda za unos u SAP'!$C$3:$C$501,"=552",'Plan prihoda za unos u SAP'!$K$3:$K$501,"=634")</f>
        <v>0</v>
      </c>
      <c r="M94" s="186">
        <f>SUMIFS('Plan prihoda za unos u SAP'!$I$3:$I$501,'Plan prihoda za unos u SAP'!$C$3:$C$501,"=559",'Plan prihoda za unos u SAP'!$K$3:$K$501,"=634")</f>
        <v>0</v>
      </c>
      <c r="N94" s="186">
        <f>SUMIFS('Plan prihoda za unos u SAP'!$I$3:$I$501,'Plan prihoda za unos u SAP'!$C$3:$C$501,"=561",'Plan prihoda za unos u SAP'!$K$3:$K$501,"=634")</f>
        <v>0</v>
      </c>
      <c r="O94" s="186">
        <f>SUMIFS('Plan prihoda za unos u SAP'!$I$3:$I$501,'Plan prihoda za unos u SAP'!$C$3:$C$501,"=563",'Plan prihoda za unos u SAP'!$K$3:$K$501,"=634")</f>
        <v>0</v>
      </c>
      <c r="P94" s="186">
        <f>SUMIFS('Plan prihoda za unos u SAP'!$I$3:$I$501,'Plan prihoda za unos u SAP'!$C$3:$C$501,"=573",'Plan prihoda za unos u SAP'!$K$3:$K$501,"=634")</f>
        <v>0</v>
      </c>
      <c r="Q94" s="186">
        <f>SUMIFS('Plan prihoda za unos u SAP'!$I$3:$I$501,'Plan prihoda za unos u SAP'!$C$3:$C$501,"=575",'Plan prihoda za unos u SAP'!$K$3:$K$501,"=634")</f>
        <v>0</v>
      </c>
      <c r="R94" s="186">
        <f>SUMIFS('Plan prihoda za unos u SAP'!$I$3:$I$501,'Plan prihoda za unos u SAP'!$C$3:$C$501,"=576",'Plan prihoda za unos u SAP'!$K$3:$K$501,"=634")</f>
        <v>0</v>
      </c>
      <c r="S94" s="186">
        <f>SUMIFS('Plan prihoda za unos u SAP'!$I$3:$I$501,'Plan prihoda za unos u SAP'!$C$3:$C$501,"=581",'Plan prihoda za unos u SAP'!$K$3:$K$501,"=634")</f>
        <v>0</v>
      </c>
      <c r="T94" s="186">
        <f>SUMIFS('Plan prihoda za unos u SAP'!$I$3:$I$501,'Plan prihoda za unos u SAP'!$C$3:$C$501,"=61",'Plan prihoda za unos u SAP'!$K$3:$K$501,"=634")</f>
        <v>0</v>
      </c>
      <c r="U94" s="186">
        <f>SUMIFS('Plan prihoda za unos u SAP'!$I$3:$I$501,'Plan prihoda za unos u SAP'!$C$3:$C$501,"=63",'Plan prihoda za unos u SAP'!$K$3:$K$501,"=634")</f>
        <v>0</v>
      </c>
      <c r="V94" s="186">
        <f>SUMIFS('Plan prihoda za unos u SAP'!$I$3:$I$501,'Plan prihoda za unos u SAP'!$C$3:$C$501,"=71",'Plan prihoda za unos u SAP'!$K$3:$K$501,"=634")</f>
        <v>0</v>
      </c>
      <c r="W94" s="186">
        <f>SUMIFS('Plan prihoda za unos u SAP'!$I$3:$I$501,'Plan prihoda za unos u SAP'!$C$3:$C$501,"=81",'Plan prihoda za unos u SAP'!$K$3:$K$501,"=634")</f>
        <v>0</v>
      </c>
    </row>
    <row r="95" spans="1:29" s="90" customFormat="1">
      <c r="A95" s="90">
        <v>2023</v>
      </c>
      <c r="B95" s="206" t="s">
        <v>736</v>
      </c>
      <c r="C95" s="96" t="s">
        <v>737</v>
      </c>
      <c r="D95" s="70">
        <f t="shared" si="22"/>
        <v>0</v>
      </c>
      <c r="E95" s="186">
        <f>SUMIFS('Plan prihoda za unos u SAP'!$I$3:$I$501,'Plan prihoda za unos u SAP'!$C$3:$C$501,"=11",'Plan prihoda za unos u SAP'!$K$3:$K$501,"=636")</f>
        <v>0</v>
      </c>
      <c r="F95" s="186">
        <f>SUMIFS('Plan prihoda za unos u SAP'!$I$3:$I$501,'Plan prihoda za unos u SAP'!$C$3:$C$501,"=12",'Plan prihoda za unos u SAP'!$K$3:$K$501,"=636")</f>
        <v>0</v>
      </c>
      <c r="G95" s="186">
        <f>SUMIFS('Plan prihoda za unos u SAP'!$I$3:$I$501,'Plan prihoda za unos u SAP'!$C$3:$C$501,"=31",'Plan prihoda za unos u SAP'!$K$3:$K$501,"=636")</f>
        <v>0</v>
      </c>
      <c r="H95" s="186">
        <f>SUMIFS('Plan prihoda za unos u SAP'!$I$3:$I$501,'Plan prihoda za unos u SAP'!$C$3:$C$501,"=41",'Plan prihoda za unos u SAP'!$K$3:$K$501,"=636")</f>
        <v>0</v>
      </c>
      <c r="I95" s="186">
        <f>SUMIFS('Plan prihoda za unos u SAP'!$I$3:$I$501,'Plan prihoda za unos u SAP'!$C$3:$C$501,"=43",'Plan prihoda za unos u SAP'!$K$3:$K$501,"=636")</f>
        <v>0</v>
      </c>
      <c r="J95" s="186">
        <f>SUMIFS('Plan prihoda za unos u SAP'!$I$3:$I$501,'Plan prihoda za unos u SAP'!$C$3:$C$501,"=51",'Plan prihoda za unos u SAP'!$K$3:$K$501,"=636")</f>
        <v>0</v>
      </c>
      <c r="K95" s="186">
        <f>SUMIFS('Plan prihoda za unos u SAP'!$I$3:$I$501,'Plan prihoda za unos u SAP'!$C$3:$C$501,"=52",'Plan prihoda za unos u SAP'!$K$3:$K$501,"=636")</f>
        <v>0</v>
      </c>
      <c r="L95" s="186">
        <f>SUMIFS('Plan prihoda za unos u SAP'!$I$3:$I$501,'Plan prihoda za unos u SAP'!$C$3:$C$501,"=552",'Plan prihoda za unos u SAP'!$K$3:$K$501,"=636")</f>
        <v>0</v>
      </c>
      <c r="M95" s="186">
        <f>SUMIFS('Plan prihoda za unos u SAP'!$I$3:$I$501,'Plan prihoda za unos u SAP'!$C$3:$C$501,"=559",'Plan prihoda za unos u SAP'!$K$3:$K$501,"=636")</f>
        <v>0</v>
      </c>
      <c r="N95" s="186">
        <f>SUMIFS('Plan prihoda za unos u SAP'!$I$3:$I$501,'Plan prihoda za unos u SAP'!$C$3:$C$501,"=561",'Plan prihoda za unos u SAP'!$K$3:$K$501,"=636")</f>
        <v>0</v>
      </c>
      <c r="O95" s="186">
        <f>SUMIFS('Plan prihoda za unos u SAP'!$I$3:$I$501,'Plan prihoda za unos u SAP'!$C$3:$C$501,"=563",'Plan prihoda za unos u SAP'!$K$3:$K$501,"=636")</f>
        <v>0</v>
      </c>
      <c r="P95" s="186">
        <f>SUMIFS('Plan prihoda za unos u SAP'!$I$3:$I$501,'Plan prihoda za unos u SAP'!$C$3:$C$501,"=573",'Plan prihoda za unos u SAP'!$K$3:$K$501,"=636")</f>
        <v>0</v>
      </c>
      <c r="Q95" s="186">
        <f>SUMIFS('Plan prihoda za unos u SAP'!$I$3:$I$501,'Plan prihoda za unos u SAP'!$C$3:$C$501,"=575",'Plan prihoda za unos u SAP'!$K$3:$K$501,"=636")</f>
        <v>0</v>
      </c>
      <c r="R95" s="186">
        <f>SUMIFS('Plan prihoda za unos u SAP'!$I$3:$I$501,'Plan prihoda za unos u SAP'!$C$3:$C$501,"=576",'Plan prihoda za unos u SAP'!$K$3:$K$501,"=636")</f>
        <v>0</v>
      </c>
      <c r="S95" s="186">
        <f>SUMIFS('Plan prihoda za unos u SAP'!$I$3:$I$501,'Plan prihoda za unos u SAP'!$C$3:$C$501,"=581",'Plan prihoda za unos u SAP'!$K$3:$K$501,"=636")</f>
        <v>0</v>
      </c>
      <c r="T95" s="186">
        <f>SUMIFS('Plan prihoda za unos u SAP'!$I$3:$I$501,'Plan prihoda za unos u SAP'!$C$3:$C$501,"=61",'Plan prihoda za unos u SAP'!$K$3:$K$501,"=636")</f>
        <v>0</v>
      </c>
      <c r="U95" s="186">
        <f>SUMIFS('Plan prihoda za unos u SAP'!$I$3:$I$501,'Plan prihoda za unos u SAP'!$C$3:$C$501,"=63",'Plan prihoda za unos u SAP'!$K$3:$K$501,"=636")</f>
        <v>0</v>
      </c>
      <c r="V95" s="186">
        <f>SUMIFS('Plan prihoda za unos u SAP'!$I$3:$I$501,'Plan prihoda za unos u SAP'!$C$3:$C$501,"=71",'Plan prihoda za unos u SAP'!$K$3:$K$501,"=636")</f>
        <v>0</v>
      </c>
      <c r="W95" s="186">
        <f>SUMIFS('Plan prihoda za unos u SAP'!$I$3:$I$501,'Plan prihoda za unos u SAP'!$C$3:$C$501,"=81",'Plan prihoda za unos u SAP'!$K$3:$K$501,"=636")</f>
        <v>0</v>
      </c>
    </row>
    <row r="96" spans="1:29" s="90" customFormat="1">
      <c r="A96" s="90">
        <v>2023</v>
      </c>
      <c r="B96" s="95" t="s">
        <v>281</v>
      </c>
      <c r="C96" s="96" t="s">
        <v>282</v>
      </c>
      <c r="D96" s="70">
        <f t="shared" si="22"/>
        <v>0</v>
      </c>
      <c r="E96" s="186">
        <f>SUMIFS('Plan prihoda za unos u SAP'!$I$3:$I$501,'Plan prihoda za unos u SAP'!$C$3:$C$501,"=11",'Plan prihoda za unos u SAP'!$K$3:$K$501,"=638")</f>
        <v>0</v>
      </c>
      <c r="F96" s="186">
        <f>SUMIFS('Plan prihoda za unos u SAP'!$I$3:$I$501,'Plan prihoda za unos u SAP'!$C$3:$C$501,"=12",'Plan prihoda za unos u SAP'!$K$3:$K$501,"=638")</f>
        <v>0</v>
      </c>
      <c r="G96" s="186">
        <f>SUMIFS('Plan prihoda za unos u SAP'!$I$3:$I$501,'Plan prihoda za unos u SAP'!$C$3:$C$501,"=31",'Plan prihoda za unos u SAP'!$K$3:$K$501,"=638")</f>
        <v>0</v>
      </c>
      <c r="H96" s="186">
        <f>SUMIFS('Plan prihoda za unos u SAP'!$I$3:$I$501,'Plan prihoda za unos u SAP'!$C$3:$C$501,"=41",'Plan prihoda za unos u SAP'!$K$3:$K$501,"=638")</f>
        <v>0</v>
      </c>
      <c r="I96" s="186">
        <f>SUMIFS('Plan prihoda za unos u SAP'!$I$3:$I$501,'Plan prihoda za unos u SAP'!$C$3:$C$501,"=43",'Plan prihoda za unos u SAP'!$K$3:$K$501,"=638")</f>
        <v>0</v>
      </c>
      <c r="J96" s="186">
        <f>SUMIFS('Plan prihoda za unos u SAP'!$I$3:$I$501,'Plan prihoda za unos u SAP'!$C$3:$C$501,"=51",'Plan prihoda za unos u SAP'!$K$3:$K$501,"=638")</f>
        <v>0</v>
      </c>
      <c r="K96" s="186">
        <f>SUMIFS('Plan prihoda za unos u SAP'!$I$3:$I$501,'Plan prihoda za unos u SAP'!$C$3:$C$501,"=52",'Plan prihoda za unos u SAP'!$K$3:$K$501,"=638")</f>
        <v>0</v>
      </c>
      <c r="L96" s="186">
        <f>SUMIFS('Plan prihoda za unos u SAP'!$I$3:$I$501,'Plan prihoda za unos u SAP'!$C$3:$C$501,"=552",'Plan prihoda za unos u SAP'!$K$3:$K$501,"=638")</f>
        <v>0</v>
      </c>
      <c r="M96" s="186">
        <f>SUMIFS('Plan prihoda za unos u SAP'!$I$3:$I$501,'Plan prihoda za unos u SAP'!$C$3:$C$501,"=559",'Plan prihoda za unos u SAP'!$K$3:$K$501,"=638")</f>
        <v>0</v>
      </c>
      <c r="N96" s="186">
        <f>SUMIFS('Plan prihoda za unos u SAP'!$I$3:$I$501,'Plan prihoda za unos u SAP'!$C$3:$C$501,"=561",'Plan prihoda za unos u SAP'!$K$3:$K$501,"=638")</f>
        <v>0</v>
      </c>
      <c r="O96" s="186">
        <f>SUMIFS('Plan prihoda za unos u SAP'!$I$3:$I$501,'Plan prihoda za unos u SAP'!$C$3:$C$501,"=563",'Plan prihoda za unos u SAP'!$K$3:$K$501,"=638")</f>
        <v>0</v>
      </c>
      <c r="P96" s="186">
        <f>SUMIFS('Plan prihoda za unos u SAP'!$I$3:$I$501,'Plan prihoda za unos u SAP'!$C$3:$C$501,"=573",'Plan prihoda za unos u SAP'!$K$3:$K$501,"=638")</f>
        <v>0</v>
      </c>
      <c r="Q96" s="186">
        <f>SUMIFS('Plan prihoda za unos u SAP'!$I$3:$I$501,'Plan prihoda za unos u SAP'!$C$3:$C$501,"=575",'Plan prihoda za unos u SAP'!$K$3:$K$501,"=638")</f>
        <v>0</v>
      </c>
      <c r="R96" s="186">
        <f>SUMIFS('Plan prihoda za unos u SAP'!$I$3:$I$501,'Plan prihoda za unos u SAP'!$C$3:$C$501,"=576",'Plan prihoda za unos u SAP'!$K$3:$K$501,"=638")</f>
        <v>0</v>
      </c>
      <c r="S96" s="186">
        <f>SUMIFS('Plan prihoda za unos u SAP'!$I$3:$I$501,'Plan prihoda za unos u SAP'!$C$3:$C$501,"=581",'Plan prihoda za unos u SAP'!$K$3:$K$501,"=638")</f>
        <v>0</v>
      </c>
      <c r="T96" s="186">
        <f>SUMIFS('Plan prihoda za unos u SAP'!$I$3:$I$501,'Plan prihoda za unos u SAP'!$C$3:$C$501,"=61",'Plan prihoda za unos u SAP'!$K$3:$K$501,"=638")</f>
        <v>0</v>
      </c>
      <c r="U96" s="186">
        <f>SUMIFS('Plan prihoda za unos u SAP'!$I$3:$I$501,'Plan prihoda za unos u SAP'!$C$3:$C$501,"=63",'Plan prihoda za unos u SAP'!$K$3:$K$501,"=638")</f>
        <v>0</v>
      </c>
      <c r="V96" s="186">
        <f>SUMIFS('Plan prihoda za unos u SAP'!$I$3:$I$501,'Plan prihoda za unos u SAP'!$C$3:$C$501,"=71",'Plan prihoda za unos u SAP'!$K$3:$K$501,"=638")</f>
        <v>0</v>
      </c>
      <c r="W96" s="186">
        <f>SUMIFS('Plan prihoda za unos u SAP'!$I$3:$I$501,'Plan prihoda za unos u SAP'!$C$3:$C$501,"=81",'Plan prihoda za unos u SAP'!$K$3:$K$501,"=638")</f>
        <v>0</v>
      </c>
    </row>
    <row r="97" spans="1:23" s="90" customFormat="1">
      <c r="A97" s="90">
        <v>2023</v>
      </c>
      <c r="B97" s="95" t="s">
        <v>283</v>
      </c>
      <c r="C97" s="96" t="s">
        <v>41</v>
      </c>
      <c r="D97" s="70">
        <f t="shared" si="22"/>
        <v>145500</v>
      </c>
      <c r="E97" s="186">
        <f>SUMIFS('Plan prihoda za unos u SAP'!$I$3:$I$501,'Plan prihoda za unos u SAP'!$C$3:$C$501,"=11",'Plan prihoda za unos u SAP'!$K$3:$K$501,"=639")</f>
        <v>0</v>
      </c>
      <c r="F97" s="186">
        <f>SUMIFS('Plan prihoda za unos u SAP'!$I$3:$I$501,'Plan prihoda za unos u SAP'!$C$3:$C$501,"=12",'Plan prihoda za unos u SAP'!$K$3:$K$501,"=639")</f>
        <v>0</v>
      </c>
      <c r="G97" s="186">
        <f>SUMIFS('Plan prihoda za unos u SAP'!$I$3:$I$501,'Plan prihoda za unos u SAP'!$C$3:$C$501,"=31",'Plan prihoda za unos u SAP'!$K$3:$K$501,"=639")</f>
        <v>0</v>
      </c>
      <c r="H97" s="186">
        <f>SUMIFS('Plan prihoda za unos u SAP'!$I$3:$I$501,'Plan prihoda za unos u SAP'!$C$3:$C$501,"=41",'Plan prihoda za unos u SAP'!$K$3:$K$501,"=639")</f>
        <v>0</v>
      </c>
      <c r="I97" s="186">
        <f>SUMIFS('Plan prihoda za unos u SAP'!$I$3:$I$501,'Plan prihoda za unos u SAP'!$C$3:$C$501,"=43",'Plan prihoda za unos u SAP'!$K$3:$K$501,"=639")</f>
        <v>0</v>
      </c>
      <c r="J97" s="186">
        <f>SUMIFS('Plan prihoda za unos u SAP'!$I$3:$I$501,'Plan prihoda za unos u SAP'!$C$3:$C$501,"=51",'Plan prihoda za unos u SAP'!$K$3:$K$501,"=639")</f>
        <v>0</v>
      </c>
      <c r="K97" s="186">
        <f>SUMIFS('Plan prihoda za unos u SAP'!$I$3:$I$501,'Plan prihoda za unos u SAP'!$C$3:$C$501,"=52",'Plan prihoda za unos u SAP'!$K$3:$K$501,"=639")</f>
        <v>145500</v>
      </c>
      <c r="L97" s="186">
        <f>SUMIFS('Plan prihoda za unos u SAP'!$I$3:$I$501,'Plan prihoda za unos u SAP'!$C$3:$C$501,"=552",'Plan prihoda za unos u SAP'!$K$3:$K$501,"=639")</f>
        <v>0</v>
      </c>
      <c r="M97" s="186">
        <f>SUMIFS('Plan prihoda za unos u SAP'!$I$3:$I$501,'Plan prihoda za unos u SAP'!$C$3:$C$501,"=559",'Plan prihoda za unos u SAP'!$K$3:$K$501,"=639")</f>
        <v>0</v>
      </c>
      <c r="N97" s="186">
        <f>SUMIFS('Plan prihoda za unos u SAP'!$I$3:$I$501,'Plan prihoda za unos u SAP'!$C$3:$C$501,"=561",'Plan prihoda za unos u SAP'!$K$3:$K$501,"=639")</f>
        <v>0</v>
      </c>
      <c r="O97" s="186">
        <f>SUMIFS('Plan prihoda za unos u SAP'!$I$3:$I$501,'Plan prihoda za unos u SAP'!$C$3:$C$501,"=563",'Plan prihoda za unos u SAP'!$K$3:$K$501,"=639")</f>
        <v>0</v>
      </c>
      <c r="P97" s="186">
        <f>SUMIFS('Plan prihoda za unos u SAP'!$I$3:$I$501,'Plan prihoda za unos u SAP'!$C$3:$C$501,"=573",'Plan prihoda za unos u SAP'!$K$3:$K$501,"=639")</f>
        <v>0</v>
      </c>
      <c r="Q97" s="186">
        <f>SUMIFS('Plan prihoda za unos u SAP'!$I$3:$I$501,'Plan prihoda za unos u SAP'!$C$3:$C$501,"=575",'Plan prihoda za unos u SAP'!$K$3:$K$501,"=639")</f>
        <v>0</v>
      </c>
      <c r="R97" s="186">
        <f>SUMIFS('Plan prihoda za unos u SAP'!$I$3:$I$501,'Plan prihoda za unos u SAP'!$C$3:$C$501,"=576",'Plan prihoda za unos u SAP'!$K$3:$K$501,"=639")</f>
        <v>0</v>
      </c>
      <c r="S97" s="186">
        <f>SUMIFS('Plan prihoda za unos u SAP'!$I$3:$I$501,'Plan prihoda za unos u SAP'!$C$3:$C$501,"=581",'Plan prihoda za unos u SAP'!$K$3:$K$501,"=639")</f>
        <v>0</v>
      </c>
      <c r="T97" s="186">
        <f>SUMIFS('Plan prihoda za unos u SAP'!$I$3:$I$501,'Plan prihoda za unos u SAP'!$C$3:$C$501,"=61",'Plan prihoda za unos u SAP'!$K$3:$K$501,"=639")</f>
        <v>0</v>
      </c>
      <c r="U97" s="186">
        <f>SUMIFS('Plan prihoda za unos u SAP'!$I$3:$I$501,'Plan prihoda za unos u SAP'!$C$3:$C$501,"=63",'Plan prihoda za unos u SAP'!$K$3:$K$501,"=639")</f>
        <v>0</v>
      </c>
      <c r="V97" s="186">
        <f>SUMIFS('Plan prihoda za unos u SAP'!$I$3:$I$501,'Plan prihoda za unos u SAP'!$C$3:$C$501,"=71",'Plan prihoda za unos u SAP'!$K$3:$K$501,"=639")</f>
        <v>0</v>
      </c>
      <c r="W97" s="186">
        <f>SUMIFS('Plan prihoda za unos u SAP'!$I$3:$I$501,'Plan prihoda za unos u SAP'!$C$3:$C$501,"=81",'Plan prihoda za unos u SAP'!$K$3:$K$501,"=639")</f>
        <v>0</v>
      </c>
    </row>
    <row r="98" spans="1:23" s="90" customFormat="1">
      <c r="A98" s="90">
        <v>2023</v>
      </c>
      <c r="B98" s="95" t="s">
        <v>284</v>
      </c>
      <c r="C98" s="96" t="s">
        <v>285</v>
      </c>
      <c r="D98" s="70">
        <f t="shared" si="22"/>
        <v>4000</v>
      </c>
      <c r="E98" s="186">
        <f>SUMIFS('Plan prihoda za unos u SAP'!$I$3:$I$501,'Plan prihoda za unos u SAP'!$C$3:$C$501,"=11",'Plan prihoda za unos u SAP'!$K$3:$K$501,"=641")</f>
        <v>0</v>
      </c>
      <c r="F98" s="186">
        <f>SUMIFS('Plan prihoda za unos u SAP'!$I$3:$I$501,'Plan prihoda za unos u SAP'!$C$3:$C$501,"=12",'Plan prihoda za unos u SAP'!$K$3:$K$501,"=641")</f>
        <v>0</v>
      </c>
      <c r="G98" s="186">
        <f>SUMIFS('Plan prihoda za unos u SAP'!$I$3:$I$501,'Plan prihoda za unos u SAP'!$C$3:$C$501,"=31",'Plan prihoda za unos u SAP'!$K$3:$K$501,"=641")</f>
        <v>4000</v>
      </c>
      <c r="H98" s="186">
        <f>SUMIFS('Plan prihoda za unos u SAP'!$I$3:$I$501,'Plan prihoda za unos u SAP'!$C$3:$C$501,"=41",'Plan prihoda za unos u SAP'!$K$3:$K$501,"=641")</f>
        <v>0</v>
      </c>
      <c r="I98" s="186">
        <f>SUMIFS('Plan prihoda za unos u SAP'!$I$3:$I$501,'Plan prihoda za unos u SAP'!$C$3:$C$501,"=43",'Plan prihoda za unos u SAP'!$K$3:$K$501,"=641")</f>
        <v>0</v>
      </c>
      <c r="J98" s="186">
        <f>SUMIFS('Plan prihoda za unos u SAP'!$I$3:$I$501,'Plan prihoda za unos u SAP'!$C$3:$C$501,"=51",'Plan prihoda za unos u SAP'!$K$3:$K$501,"=641")</f>
        <v>0</v>
      </c>
      <c r="K98" s="186">
        <f>SUMIFS('Plan prihoda za unos u SAP'!$I$3:$I$501,'Plan prihoda za unos u SAP'!$C$3:$C$501,"=52",'Plan prihoda za unos u SAP'!$K$3:$K$501,"=641")</f>
        <v>0</v>
      </c>
      <c r="L98" s="186">
        <f>SUMIFS('Plan prihoda za unos u SAP'!$I$3:$I$501,'Plan prihoda za unos u SAP'!$C$3:$C$501,"=552",'Plan prihoda za unos u SAP'!$K$3:$K$501,"=641")</f>
        <v>0</v>
      </c>
      <c r="M98" s="186">
        <f>SUMIFS('Plan prihoda za unos u SAP'!$I$3:$I$501,'Plan prihoda za unos u SAP'!$C$3:$C$501,"=559",'Plan prihoda za unos u SAP'!$K$3:$K$501,"=641")</f>
        <v>0</v>
      </c>
      <c r="N98" s="186">
        <f>SUMIFS('Plan prihoda za unos u SAP'!$I$3:$I$501,'Plan prihoda za unos u SAP'!$C$3:$C$501,"=561",'Plan prihoda za unos u SAP'!$K$3:$K$501,"=641")</f>
        <v>0</v>
      </c>
      <c r="O98" s="186">
        <f>SUMIFS('Plan prihoda za unos u SAP'!$I$3:$I$501,'Plan prihoda za unos u SAP'!$C$3:$C$501,"=563",'Plan prihoda za unos u SAP'!$K$3:$K$501,"=641")</f>
        <v>0</v>
      </c>
      <c r="P98" s="186">
        <f>SUMIFS('Plan prihoda za unos u SAP'!$I$3:$I$501,'Plan prihoda za unos u SAP'!$C$3:$C$501,"=573",'Plan prihoda za unos u SAP'!$K$3:$K$501,"=641")</f>
        <v>0</v>
      </c>
      <c r="Q98" s="186">
        <f>SUMIFS('Plan prihoda za unos u SAP'!$I$3:$I$501,'Plan prihoda za unos u SAP'!$C$3:$C$501,"=575",'Plan prihoda za unos u SAP'!$K$3:$K$501,"=641")</f>
        <v>0</v>
      </c>
      <c r="R98" s="186">
        <f>SUMIFS('Plan prihoda za unos u SAP'!$I$3:$I$501,'Plan prihoda za unos u SAP'!$C$3:$C$501,"=576",'Plan prihoda za unos u SAP'!$K$3:$K$501,"=641")</f>
        <v>0</v>
      </c>
      <c r="S98" s="186">
        <f>SUMIFS('Plan prihoda za unos u SAP'!$I$3:$I$501,'Plan prihoda za unos u SAP'!$C$3:$C$501,"=581",'Plan prihoda za unos u SAP'!$K$3:$K$501,"=641")</f>
        <v>0</v>
      </c>
      <c r="T98" s="186">
        <f>SUMIFS('Plan prihoda za unos u SAP'!$I$3:$I$501,'Plan prihoda za unos u SAP'!$C$3:$C$501,"=61",'Plan prihoda za unos u SAP'!$K$3:$K$501,"=641")</f>
        <v>0</v>
      </c>
      <c r="U98" s="186">
        <f>SUMIFS('Plan prihoda za unos u SAP'!$I$3:$I$501,'Plan prihoda za unos u SAP'!$C$3:$C$501,"=63",'Plan prihoda za unos u SAP'!$K$3:$K$501,"=641")</f>
        <v>0</v>
      </c>
      <c r="V98" s="186">
        <f>SUMIFS('Plan prihoda za unos u SAP'!$I$3:$I$501,'Plan prihoda za unos u SAP'!$C$3:$C$501,"=71",'Plan prihoda za unos u SAP'!$K$3:$K$501,"=641")</f>
        <v>0</v>
      </c>
      <c r="W98" s="186">
        <f>SUMIFS('Plan prihoda za unos u SAP'!$I$3:$I$501,'Plan prihoda za unos u SAP'!$C$3:$C$501,"=81",'Plan prihoda za unos u SAP'!$K$3:$K$501,"=641")</f>
        <v>0</v>
      </c>
    </row>
    <row r="99" spans="1:23" s="90" customFormat="1">
      <c r="A99" s="90">
        <v>2023</v>
      </c>
      <c r="B99" s="95" t="s">
        <v>286</v>
      </c>
      <c r="C99" s="96" t="s">
        <v>287</v>
      </c>
      <c r="D99" s="70">
        <f t="shared" si="22"/>
        <v>0</v>
      </c>
      <c r="E99" s="186">
        <f>SUMIFS('Plan prihoda za unos u SAP'!$I$3:$I$501,'Plan prihoda za unos u SAP'!$C$3:$C$501,"=11",'Plan prihoda za unos u SAP'!$K$3:$K$501,"=642")</f>
        <v>0</v>
      </c>
      <c r="F99" s="186">
        <f>SUMIFS('Plan prihoda za unos u SAP'!$I$3:$I$501,'Plan prihoda za unos u SAP'!$C$3:$C$501,"=12",'Plan prihoda za unos u SAP'!$K$3:$K$501,"=642")</f>
        <v>0</v>
      </c>
      <c r="G99" s="186">
        <f>SUMIFS('Plan prihoda za unos u SAP'!$I$3:$I$501,'Plan prihoda za unos u SAP'!$C$3:$C$501,"=31",'Plan prihoda za unos u SAP'!$K$3:$K$501,"=642")</f>
        <v>0</v>
      </c>
      <c r="H99" s="186">
        <f>SUMIFS('Plan prihoda za unos u SAP'!$I$3:$I$501,'Plan prihoda za unos u SAP'!$C$3:$C$501,"=41",'Plan prihoda za unos u SAP'!$K$3:$K$501,"=642")</f>
        <v>0</v>
      </c>
      <c r="I99" s="186">
        <f>SUMIFS('Plan prihoda za unos u SAP'!$I$3:$I$501,'Plan prihoda za unos u SAP'!$C$3:$C$501,"=43",'Plan prihoda za unos u SAP'!$K$3:$K$501,"=642")</f>
        <v>0</v>
      </c>
      <c r="J99" s="186">
        <f>SUMIFS('Plan prihoda za unos u SAP'!$I$3:$I$501,'Plan prihoda za unos u SAP'!$C$3:$C$501,"=51",'Plan prihoda za unos u SAP'!$K$3:$K$501,"=642")</f>
        <v>0</v>
      </c>
      <c r="K99" s="186">
        <f>SUMIFS('Plan prihoda za unos u SAP'!$I$3:$I$501,'Plan prihoda za unos u SAP'!$C$3:$C$501,"=52",'Plan prihoda za unos u SAP'!$K$3:$K$501,"=642")</f>
        <v>0</v>
      </c>
      <c r="L99" s="186">
        <f>SUMIFS('Plan prihoda za unos u SAP'!$I$3:$I$501,'Plan prihoda za unos u SAP'!$C$3:$C$501,"=552",'Plan prihoda za unos u SAP'!$K$3:$K$501,"=642")</f>
        <v>0</v>
      </c>
      <c r="M99" s="186">
        <f>SUMIFS('Plan prihoda za unos u SAP'!$I$3:$I$501,'Plan prihoda za unos u SAP'!$C$3:$C$501,"=559",'Plan prihoda za unos u SAP'!$K$3:$K$501,"=642")</f>
        <v>0</v>
      </c>
      <c r="N99" s="186">
        <f>SUMIFS('Plan prihoda za unos u SAP'!$I$3:$I$501,'Plan prihoda za unos u SAP'!$C$3:$C$501,"=561",'Plan prihoda za unos u SAP'!$K$3:$K$501,"=642")</f>
        <v>0</v>
      </c>
      <c r="O99" s="186">
        <f>SUMIFS('Plan prihoda za unos u SAP'!$I$3:$I$501,'Plan prihoda za unos u SAP'!$C$3:$C$501,"=563",'Plan prihoda za unos u SAP'!$K$3:$K$501,"=642")</f>
        <v>0</v>
      </c>
      <c r="P99" s="186">
        <f>SUMIFS('Plan prihoda za unos u SAP'!$I$3:$I$501,'Plan prihoda za unos u SAP'!$C$3:$C$501,"=573",'Plan prihoda za unos u SAP'!$K$3:$K$501,"=642")</f>
        <v>0</v>
      </c>
      <c r="Q99" s="186">
        <f>SUMIFS('Plan prihoda za unos u SAP'!$I$3:$I$501,'Plan prihoda za unos u SAP'!$C$3:$C$501,"=575",'Plan prihoda za unos u SAP'!$K$3:$K$501,"=642")</f>
        <v>0</v>
      </c>
      <c r="R99" s="186">
        <f>SUMIFS('Plan prihoda za unos u SAP'!$I$3:$I$501,'Plan prihoda za unos u SAP'!$C$3:$C$501,"=576",'Plan prihoda za unos u SAP'!$K$3:$K$501,"=642")</f>
        <v>0</v>
      </c>
      <c r="S99" s="186">
        <f>SUMIFS('Plan prihoda za unos u SAP'!$I$3:$I$501,'Plan prihoda za unos u SAP'!$C$3:$C$501,"=581",'Plan prihoda za unos u SAP'!$K$3:$K$501,"=642")</f>
        <v>0</v>
      </c>
      <c r="T99" s="186">
        <f>SUMIFS('Plan prihoda za unos u SAP'!$I$3:$I$501,'Plan prihoda za unos u SAP'!$C$3:$C$501,"=61",'Plan prihoda za unos u SAP'!$K$3:$K$501,"=642")</f>
        <v>0</v>
      </c>
      <c r="U99" s="186">
        <f>SUMIFS('Plan prihoda za unos u SAP'!$I$3:$I$501,'Plan prihoda za unos u SAP'!$C$3:$C$501,"=63",'Plan prihoda za unos u SAP'!$K$3:$K$501,"=642")</f>
        <v>0</v>
      </c>
      <c r="V99" s="186">
        <f>SUMIFS('Plan prihoda za unos u SAP'!$I$3:$I$501,'Plan prihoda za unos u SAP'!$C$3:$C$501,"=71",'Plan prihoda za unos u SAP'!$K$3:$K$501,"=642")</f>
        <v>0</v>
      </c>
      <c r="W99" s="186">
        <f>SUMIFS('Plan prihoda za unos u SAP'!$I$3:$I$501,'Plan prihoda za unos u SAP'!$C$3:$C$501,"=81",'Plan prihoda za unos u SAP'!$K$3:$K$501,"=642")</f>
        <v>0</v>
      </c>
    </row>
    <row r="100" spans="1:23" s="90" customFormat="1">
      <c r="A100" s="90">
        <v>2023</v>
      </c>
      <c r="B100" s="206" t="s">
        <v>739</v>
      </c>
      <c r="C100" s="96" t="s">
        <v>738</v>
      </c>
      <c r="D100" s="70">
        <f t="shared" si="22"/>
        <v>0</v>
      </c>
      <c r="E100" s="186">
        <f>SUMIFS('Plan prihoda za unos u SAP'!$I$3:$I$501,'Plan prihoda za unos u SAP'!$C$3:$C$501,"=11",'Plan prihoda za unos u SAP'!$K$3:$K$501,"=651")</f>
        <v>0</v>
      </c>
      <c r="F100" s="186">
        <f>SUMIFS('Plan prihoda za unos u SAP'!$I$3:$I$501,'Plan prihoda za unos u SAP'!$C$3:$C$501,"=12",'Plan prihoda za unos u SAP'!$K$3:$K$501,"=651")</f>
        <v>0</v>
      </c>
      <c r="G100" s="186">
        <f>SUMIFS('Plan prihoda za unos u SAP'!$I$3:$I$501,'Plan prihoda za unos u SAP'!$C$3:$C$501,"=31",'Plan prihoda za unos u SAP'!$K$3:$K$501,"=651")</f>
        <v>0</v>
      </c>
      <c r="H100" s="186">
        <f>SUMIFS('Plan prihoda za unos u SAP'!$I$3:$I$501,'Plan prihoda za unos u SAP'!$C$3:$C$501,"=41",'Plan prihoda za unos u SAP'!$K$3:$K$501,"=651")</f>
        <v>0</v>
      </c>
      <c r="I100" s="186">
        <f>SUMIFS('Plan prihoda za unos u SAP'!$I$3:$I$501,'Plan prihoda za unos u SAP'!$C$3:$C$501,"=43",'Plan prihoda za unos u SAP'!$K$3:$K$501,"=651")</f>
        <v>0</v>
      </c>
      <c r="J100" s="186">
        <f>SUMIFS('Plan prihoda za unos u SAP'!$I$3:$I$501,'Plan prihoda za unos u SAP'!$C$3:$C$501,"=51",'Plan prihoda za unos u SAP'!$K$3:$K$501,"=651")</f>
        <v>0</v>
      </c>
      <c r="K100" s="186">
        <f>SUMIFS('Plan prihoda za unos u SAP'!$I$3:$I$501,'Plan prihoda za unos u SAP'!$C$3:$C$501,"=52",'Plan prihoda za unos u SAP'!$K$3:$K$501,"=651")</f>
        <v>0</v>
      </c>
      <c r="L100" s="186">
        <f>SUMIFS('Plan prihoda za unos u SAP'!$I$3:$I$501,'Plan prihoda za unos u SAP'!$C$3:$C$501,"=552",'Plan prihoda za unos u SAP'!$K$3:$K$501,"=651")</f>
        <v>0</v>
      </c>
      <c r="M100" s="186">
        <f>SUMIFS('Plan prihoda za unos u SAP'!$I$3:$I$501,'Plan prihoda za unos u SAP'!$C$3:$C$501,"=559",'Plan prihoda za unos u SAP'!$K$3:$K$501,"=651")</f>
        <v>0</v>
      </c>
      <c r="N100" s="186">
        <f>SUMIFS('Plan prihoda za unos u SAP'!$I$3:$I$501,'Plan prihoda za unos u SAP'!$C$3:$C$501,"=561",'Plan prihoda za unos u SAP'!$K$3:$K$501,"=651")</f>
        <v>0</v>
      </c>
      <c r="O100" s="186">
        <f>SUMIFS('Plan prihoda za unos u SAP'!$I$3:$I$501,'Plan prihoda za unos u SAP'!$C$3:$C$501,"=563",'Plan prihoda za unos u SAP'!$K$3:$K$501,"=651")</f>
        <v>0</v>
      </c>
      <c r="P100" s="186">
        <f>SUMIFS('Plan prihoda za unos u SAP'!$I$3:$I$501,'Plan prihoda za unos u SAP'!$C$3:$C$501,"=573",'Plan prihoda za unos u SAP'!$K$3:$K$501,"=651")</f>
        <v>0</v>
      </c>
      <c r="Q100" s="186">
        <f>SUMIFS('Plan prihoda za unos u SAP'!$I$3:$I$501,'Plan prihoda za unos u SAP'!$C$3:$C$501,"=575",'Plan prihoda za unos u SAP'!$K$3:$K$501,"=651")</f>
        <v>0</v>
      </c>
      <c r="R100" s="186">
        <f>SUMIFS('Plan prihoda za unos u SAP'!$I$3:$I$501,'Plan prihoda za unos u SAP'!$C$3:$C$501,"=576",'Plan prihoda za unos u SAP'!$K$3:$K$501,"=651")</f>
        <v>0</v>
      </c>
      <c r="S100" s="186">
        <f>SUMIFS('Plan prihoda za unos u SAP'!$I$3:$I$501,'Plan prihoda za unos u SAP'!$C$3:$C$501,"=581",'Plan prihoda za unos u SAP'!$K$3:$K$501,"=651")</f>
        <v>0</v>
      </c>
      <c r="T100" s="186">
        <f>SUMIFS('Plan prihoda za unos u SAP'!$I$3:$I$501,'Plan prihoda za unos u SAP'!$C$3:$C$501,"=61",'Plan prihoda za unos u SAP'!$K$3:$K$501,"=651")</f>
        <v>0</v>
      </c>
      <c r="U100" s="186">
        <f>SUMIFS('Plan prihoda za unos u SAP'!$I$3:$I$501,'Plan prihoda za unos u SAP'!$C$3:$C$501,"=63",'Plan prihoda za unos u SAP'!$K$3:$K$501,"=651")</f>
        <v>0</v>
      </c>
      <c r="V100" s="186">
        <f>SUMIFS('Plan prihoda za unos u SAP'!$I$3:$I$501,'Plan prihoda za unos u SAP'!$C$3:$C$501,"=71",'Plan prihoda za unos u SAP'!$K$3:$K$501,"=651")</f>
        <v>0</v>
      </c>
      <c r="W100" s="186">
        <f>SUMIFS('Plan prihoda za unos u SAP'!$I$3:$I$501,'Plan prihoda za unos u SAP'!$C$3:$C$501,"=81",'Plan prihoda za unos u SAP'!$K$3:$K$501,"=651")</f>
        <v>0</v>
      </c>
    </row>
    <row r="101" spans="1:23" s="90" customFormat="1">
      <c r="A101" s="90">
        <v>2023</v>
      </c>
      <c r="B101" s="95" t="s">
        <v>288</v>
      </c>
      <c r="C101" s="96" t="s">
        <v>289</v>
      </c>
      <c r="D101" s="70">
        <f t="shared" si="22"/>
        <v>14595500</v>
      </c>
      <c r="E101" s="186">
        <f>SUMIFS('Plan prihoda za unos u SAP'!$I$3:$I$501,'Plan prihoda za unos u SAP'!$C$3:$C$501,"=11",'Plan prihoda za unos u SAP'!$K$3:$K$501,"=652")</f>
        <v>0</v>
      </c>
      <c r="F101" s="186">
        <f>SUMIFS('Plan prihoda za unos u SAP'!$I$3:$I$501,'Plan prihoda za unos u SAP'!$C$3:$C$501,"=12",'Plan prihoda za unos u SAP'!$K$3:$K$501,"=652")</f>
        <v>0</v>
      </c>
      <c r="G101" s="186">
        <f>SUMIFS('Plan prihoda za unos u SAP'!$I$3:$I$501,'Plan prihoda za unos u SAP'!$C$3:$C$501,"=31",'Plan prihoda za unos u SAP'!$K$3:$K$501,"=652")</f>
        <v>0</v>
      </c>
      <c r="H101" s="186">
        <f>SUMIFS('Plan prihoda za unos u SAP'!$I$3:$I$501,'Plan prihoda za unos u SAP'!$C$3:$C$501,"=41",'Plan prihoda za unos u SAP'!$K$3:$K$501,"=652")</f>
        <v>0</v>
      </c>
      <c r="I101" s="186">
        <f>SUMIFS('Plan prihoda za unos u SAP'!$I$3:$I$501,'Plan prihoda za unos u SAP'!$C$3:$C$501,"=43",'Plan prihoda za unos u SAP'!$K$3:$K$501,"=652")</f>
        <v>14595500</v>
      </c>
      <c r="J101" s="186">
        <f>SUMIFS('Plan prihoda za unos u SAP'!$I$3:$I$501,'Plan prihoda za unos u SAP'!$C$3:$C$501,"=51",'Plan prihoda za unos u SAP'!$K$3:$K$501,"=652")</f>
        <v>0</v>
      </c>
      <c r="K101" s="186">
        <f>SUMIFS('Plan prihoda za unos u SAP'!$I$3:$I$501,'Plan prihoda za unos u SAP'!$C$3:$C$501,"=52",'Plan prihoda za unos u SAP'!$K$3:$K$501,"=652")</f>
        <v>0</v>
      </c>
      <c r="L101" s="186">
        <f>SUMIFS('Plan prihoda za unos u SAP'!$I$3:$I$501,'Plan prihoda za unos u SAP'!$C$3:$C$501,"=552",'Plan prihoda za unos u SAP'!$K$3:$K$501,"=652")</f>
        <v>0</v>
      </c>
      <c r="M101" s="186">
        <f>SUMIFS('Plan prihoda za unos u SAP'!$I$3:$I$501,'Plan prihoda za unos u SAP'!$C$3:$C$501,"=559",'Plan prihoda za unos u SAP'!$K$3:$K$501,"=652")</f>
        <v>0</v>
      </c>
      <c r="N101" s="186">
        <f>SUMIFS('Plan prihoda za unos u SAP'!$I$3:$I$501,'Plan prihoda za unos u SAP'!$C$3:$C$501,"=561",'Plan prihoda za unos u SAP'!$K$3:$K$501,"=652")</f>
        <v>0</v>
      </c>
      <c r="O101" s="186">
        <f>SUMIFS('Plan prihoda za unos u SAP'!$I$3:$I$501,'Plan prihoda za unos u SAP'!$C$3:$C$501,"=563",'Plan prihoda za unos u SAP'!$K$3:$K$501,"=652")</f>
        <v>0</v>
      </c>
      <c r="P101" s="186">
        <f>SUMIFS('Plan prihoda za unos u SAP'!$I$3:$I$501,'Plan prihoda za unos u SAP'!$C$3:$C$501,"=573",'Plan prihoda za unos u SAP'!$K$3:$K$501,"=652")</f>
        <v>0</v>
      </c>
      <c r="Q101" s="186">
        <f>SUMIFS('Plan prihoda za unos u SAP'!$I$3:$I$501,'Plan prihoda za unos u SAP'!$C$3:$C$501,"=575",'Plan prihoda za unos u SAP'!$K$3:$K$501,"=652")</f>
        <v>0</v>
      </c>
      <c r="R101" s="186">
        <f>SUMIFS('Plan prihoda za unos u SAP'!$I$3:$I$501,'Plan prihoda za unos u SAP'!$C$3:$C$501,"=576",'Plan prihoda za unos u SAP'!$K$3:$K$501,"=652")</f>
        <v>0</v>
      </c>
      <c r="S101" s="186">
        <f>SUMIFS('Plan prihoda za unos u SAP'!$I$3:$I$501,'Plan prihoda za unos u SAP'!$C$3:$C$501,"=581",'Plan prihoda za unos u SAP'!$K$3:$K$501,"=652")</f>
        <v>0</v>
      </c>
      <c r="T101" s="186">
        <f>SUMIFS('Plan prihoda za unos u SAP'!$I$3:$I$501,'Plan prihoda za unos u SAP'!$C$3:$C$501,"=61",'Plan prihoda za unos u SAP'!$K$3:$K$501,"=652")</f>
        <v>0</v>
      </c>
      <c r="U101" s="186">
        <f>SUMIFS('Plan prihoda za unos u SAP'!$I$3:$I$501,'Plan prihoda za unos u SAP'!$C$3:$C$501,"=63",'Plan prihoda za unos u SAP'!$K$3:$K$501,"=652")</f>
        <v>0</v>
      </c>
      <c r="V101" s="186">
        <f>SUMIFS('Plan prihoda za unos u SAP'!$I$3:$I$501,'Plan prihoda za unos u SAP'!$C$3:$C$501,"=71",'Plan prihoda za unos u SAP'!$K$3:$K$501,"=652")</f>
        <v>0</v>
      </c>
      <c r="W101" s="186">
        <f>SUMIFS('Plan prihoda za unos u SAP'!$I$3:$I$501,'Plan prihoda za unos u SAP'!$C$3:$C$501,"=81",'Plan prihoda za unos u SAP'!$K$3:$K$501,"=652")</f>
        <v>0</v>
      </c>
    </row>
    <row r="102" spans="1:23" s="90" customFormat="1">
      <c r="A102" s="90">
        <v>2023</v>
      </c>
      <c r="B102" s="95" t="s">
        <v>290</v>
      </c>
      <c r="C102" s="96" t="s">
        <v>291</v>
      </c>
      <c r="D102" s="70">
        <f t="shared" si="22"/>
        <v>714000</v>
      </c>
      <c r="E102" s="186">
        <f>SUMIFS('Plan prihoda za unos u SAP'!$I$3:$I$501,'Plan prihoda za unos u SAP'!$C$3:$C$501,"=11",'Plan prihoda za unos u SAP'!$K$3:$K$501,"=661")</f>
        <v>0</v>
      </c>
      <c r="F102" s="186">
        <f>SUMIFS('Plan prihoda za unos u SAP'!$I$3:$I$501,'Plan prihoda za unos u SAP'!$C$3:$C$501,"=12",'Plan prihoda za unos u SAP'!$K$3:$K$501,"=661")</f>
        <v>0</v>
      </c>
      <c r="G102" s="186">
        <f>SUMIFS('Plan prihoda za unos u SAP'!$I$3:$I$501,'Plan prihoda za unos u SAP'!$C$3:$C$501,"=31",'Plan prihoda za unos u SAP'!$K$3:$K$501,"=661")</f>
        <v>714000</v>
      </c>
      <c r="H102" s="186">
        <f>SUMIFS('Plan prihoda za unos u SAP'!$I$3:$I$501,'Plan prihoda za unos u SAP'!$C$3:$C$501,"=41",'Plan prihoda za unos u SAP'!$K$3:$K$501,"=661")</f>
        <v>0</v>
      </c>
      <c r="I102" s="186">
        <f>SUMIFS('Plan prihoda za unos u SAP'!$I$3:$I$501,'Plan prihoda za unos u SAP'!$C$3:$C$501,"=43",'Plan prihoda za unos u SAP'!$K$3:$K$501,"=661")</f>
        <v>0</v>
      </c>
      <c r="J102" s="186">
        <f>SUMIFS('Plan prihoda za unos u SAP'!$I$3:$I$501,'Plan prihoda za unos u SAP'!$C$3:$C$501,"=51",'Plan prihoda za unos u SAP'!$K$3:$K$501,"=661")</f>
        <v>0</v>
      </c>
      <c r="K102" s="186">
        <f>SUMIFS('Plan prihoda za unos u SAP'!$I$3:$I$501,'Plan prihoda za unos u SAP'!$C$3:$C$501,"=52",'Plan prihoda za unos u SAP'!$K$3:$K$501,"=661")</f>
        <v>0</v>
      </c>
      <c r="L102" s="186">
        <f>SUMIFS('Plan prihoda za unos u SAP'!$I$3:$I$501,'Plan prihoda za unos u SAP'!$C$3:$C$501,"=552",'Plan prihoda za unos u SAP'!$K$3:$K$501,"=661")</f>
        <v>0</v>
      </c>
      <c r="M102" s="186">
        <f>SUMIFS('Plan prihoda za unos u SAP'!$I$3:$I$501,'Plan prihoda za unos u SAP'!$C$3:$C$501,"=559",'Plan prihoda za unos u SAP'!$K$3:$K$501,"=661")</f>
        <v>0</v>
      </c>
      <c r="N102" s="186">
        <f>SUMIFS('Plan prihoda za unos u SAP'!$I$3:$I$501,'Plan prihoda za unos u SAP'!$C$3:$C$501,"=561",'Plan prihoda za unos u SAP'!$K$3:$K$501,"=661")</f>
        <v>0</v>
      </c>
      <c r="O102" s="186">
        <f>SUMIFS('Plan prihoda za unos u SAP'!$I$3:$I$501,'Plan prihoda za unos u SAP'!$C$3:$C$501,"=563",'Plan prihoda za unos u SAP'!$K$3:$K$501,"=661")</f>
        <v>0</v>
      </c>
      <c r="P102" s="186">
        <f>SUMIFS('Plan prihoda za unos u SAP'!$I$3:$I$501,'Plan prihoda za unos u SAP'!$C$3:$C$501,"=573",'Plan prihoda za unos u SAP'!$K$3:$K$501,"=661")</f>
        <v>0</v>
      </c>
      <c r="Q102" s="186">
        <f>SUMIFS('Plan prihoda za unos u SAP'!$I$3:$I$501,'Plan prihoda za unos u SAP'!$C$3:$C$501,"=575",'Plan prihoda za unos u SAP'!$K$3:$K$501,"=661")</f>
        <v>0</v>
      </c>
      <c r="R102" s="186">
        <f>SUMIFS('Plan prihoda za unos u SAP'!$I$3:$I$501,'Plan prihoda za unos u SAP'!$C$3:$C$501,"=576",'Plan prihoda za unos u SAP'!$K$3:$K$501,"=661")</f>
        <v>0</v>
      </c>
      <c r="S102" s="186">
        <f>SUMIFS('Plan prihoda za unos u SAP'!$I$3:$I$501,'Plan prihoda za unos u SAP'!$C$3:$C$501,"=581",'Plan prihoda za unos u SAP'!$K$3:$K$501,"=661")</f>
        <v>0</v>
      </c>
      <c r="T102" s="186">
        <f>SUMIFS('Plan prihoda za unos u SAP'!$I$3:$I$501,'Plan prihoda za unos u SAP'!$C$3:$C$501,"=61",'Plan prihoda za unos u SAP'!$K$3:$K$501,"=661")</f>
        <v>0</v>
      </c>
      <c r="U102" s="186">
        <f>SUMIFS('Plan prihoda za unos u SAP'!$I$3:$I$501,'Plan prihoda za unos u SAP'!$C$3:$C$501,"=63",'Plan prihoda za unos u SAP'!$K$3:$K$501,"=661")</f>
        <v>0</v>
      </c>
      <c r="V102" s="186">
        <f>SUMIFS('Plan prihoda za unos u SAP'!$I$3:$I$501,'Plan prihoda za unos u SAP'!$C$3:$C$501,"=71",'Plan prihoda za unos u SAP'!$K$3:$K$501,"=661")</f>
        <v>0</v>
      </c>
      <c r="W102" s="186">
        <f>SUMIFS('Plan prihoda za unos u SAP'!$I$3:$I$501,'Plan prihoda za unos u SAP'!$C$3:$C$501,"=81",'Plan prihoda za unos u SAP'!$K$3:$K$501,"=661")</f>
        <v>0</v>
      </c>
    </row>
    <row r="103" spans="1:23" s="90" customFormat="1">
      <c r="A103" s="90">
        <v>2023</v>
      </c>
      <c r="B103" s="95" t="s">
        <v>292</v>
      </c>
      <c r="C103" s="96" t="s">
        <v>293</v>
      </c>
      <c r="D103" s="70">
        <f t="shared" si="22"/>
        <v>145500</v>
      </c>
      <c r="E103" s="186">
        <f>SUMIFS('Plan prihoda za unos u SAP'!$I$3:$I$501,'Plan prihoda za unos u SAP'!$C$3:$C$501,"=11",'Plan prihoda za unos u SAP'!$K$3:$K$501,"=663")</f>
        <v>0</v>
      </c>
      <c r="F103" s="186">
        <f>SUMIFS('Plan prihoda za unos u SAP'!$I$3:$I$501,'Plan prihoda za unos u SAP'!$C$3:$C$501,"=12",'Plan prihoda za unos u SAP'!$K$3:$K$501,"=663")</f>
        <v>0</v>
      </c>
      <c r="G103" s="186">
        <f>SUMIFS('Plan prihoda za unos u SAP'!$I$3:$I$501,'Plan prihoda za unos u SAP'!$C$3:$C$501,"=31",'Plan prihoda za unos u SAP'!$K$3:$K$501,"=663")</f>
        <v>0</v>
      </c>
      <c r="H103" s="186">
        <f>SUMIFS('Plan prihoda za unos u SAP'!$I$3:$I$501,'Plan prihoda za unos u SAP'!$C$3:$C$501,"=41",'Plan prihoda za unos u SAP'!$K$3:$K$501,"=663")</f>
        <v>0</v>
      </c>
      <c r="I103" s="186">
        <f>SUMIFS('Plan prihoda za unos u SAP'!$I$3:$I$501,'Plan prihoda za unos u SAP'!$C$3:$C$501,"=43",'Plan prihoda za unos u SAP'!$K$3:$K$501,"=663")</f>
        <v>0</v>
      </c>
      <c r="J103" s="186">
        <f>SUMIFS('Plan prihoda za unos u SAP'!$I$3:$I$501,'Plan prihoda za unos u SAP'!$C$3:$C$501,"=51",'Plan prihoda za unos u SAP'!$K$3:$K$501,"=663")</f>
        <v>0</v>
      </c>
      <c r="K103" s="186">
        <f>SUMIFS('Plan prihoda za unos u SAP'!$I$3:$I$501,'Plan prihoda za unos u SAP'!$C$3:$C$501,"=52",'Plan prihoda za unos u SAP'!$K$3:$K$501,"=663")</f>
        <v>0</v>
      </c>
      <c r="L103" s="186">
        <f>SUMIFS('Plan prihoda za unos u SAP'!$I$3:$I$501,'Plan prihoda za unos u SAP'!$C$3:$C$501,"=552",'Plan prihoda za unos u SAP'!$K$3:$K$501,"=663")</f>
        <v>0</v>
      </c>
      <c r="M103" s="186">
        <f>SUMIFS('Plan prihoda za unos u SAP'!$I$3:$I$501,'Plan prihoda za unos u SAP'!$C$3:$C$501,"=559",'Plan prihoda za unos u SAP'!$K$3:$K$501,"=663")</f>
        <v>0</v>
      </c>
      <c r="N103" s="186">
        <f>SUMIFS('Plan prihoda za unos u SAP'!$I$3:$I$501,'Plan prihoda za unos u SAP'!$C$3:$C$501,"=561",'Plan prihoda za unos u SAP'!$K$3:$K$501,"=663")</f>
        <v>0</v>
      </c>
      <c r="O103" s="186">
        <f>SUMIFS('Plan prihoda za unos u SAP'!$I$3:$I$501,'Plan prihoda za unos u SAP'!$C$3:$C$501,"=563",'Plan prihoda za unos u SAP'!$K$3:$K$501,"=663")</f>
        <v>0</v>
      </c>
      <c r="P103" s="186">
        <f>SUMIFS('Plan prihoda za unos u SAP'!$I$3:$I$501,'Plan prihoda za unos u SAP'!$C$3:$C$501,"=573",'Plan prihoda za unos u SAP'!$K$3:$K$501,"=663")</f>
        <v>0</v>
      </c>
      <c r="Q103" s="186">
        <f>SUMIFS('Plan prihoda za unos u SAP'!$I$3:$I$501,'Plan prihoda za unos u SAP'!$C$3:$C$501,"=575",'Plan prihoda za unos u SAP'!$K$3:$K$501,"=663")</f>
        <v>0</v>
      </c>
      <c r="R103" s="186">
        <f>SUMIFS('Plan prihoda za unos u SAP'!$I$3:$I$501,'Plan prihoda za unos u SAP'!$C$3:$C$501,"=576",'Plan prihoda za unos u SAP'!$K$3:$K$501,"=663")</f>
        <v>0</v>
      </c>
      <c r="S103" s="186">
        <f>SUMIFS('Plan prihoda za unos u SAP'!$I$3:$I$501,'Plan prihoda za unos u SAP'!$C$3:$C$501,"=581",'Plan prihoda za unos u SAP'!$K$3:$K$501,"=663")</f>
        <v>0</v>
      </c>
      <c r="T103" s="186">
        <f>SUMIFS('Plan prihoda za unos u SAP'!$I$3:$I$501,'Plan prihoda za unos u SAP'!$C$3:$C$501,"=61",'Plan prihoda za unos u SAP'!$K$3:$K$501,"=663")</f>
        <v>145500</v>
      </c>
      <c r="U103" s="186">
        <f>SUMIFS('Plan prihoda za unos u SAP'!$I$3:$I$501,'Plan prihoda za unos u SAP'!$C$3:$C$501,"=63",'Plan prihoda za unos u SAP'!$K$3:$K$501,"=663")</f>
        <v>0</v>
      </c>
      <c r="V103" s="186">
        <f>SUMIFS('Plan prihoda za unos u SAP'!$I$3:$I$501,'Plan prihoda za unos u SAP'!$C$3:$C$501,"=71",'Plan prihoda za unos u SAP'!$K$3:$K$501,"=663")</f>
        <v>0</v>
      </c>
      <c r="W103" s="186">
        <f>SUMIFS('Plan prihoda za unos u SAP'!$I$3:$I$501,'Plan prihoda za unos u SAP'!$C$3:$C$501,"=81",'Plan prihoda za unos u SAP'!$K$3:$K$501,"=663")</f>
        <v>0</v>
      </c>
    </row>
    <row r="104" spans="1:23" s="90" customFormat="1">
      <c r="A104" s="90">
        <v>2023</v>
      </c>
      <c r="B104" s="95" t="s">
        <v>294</v>
      </c>
      <c r="C104" s="129" t="s">
        <v>254</v>
      </c>
      <c r="D104" s="70">
        <f t="shared" si="22"/>
        <v>19803100</v>
      </c>
      <c r="E104" s="186">
        <f>SUMIFS('Plan prihoda za unos u SAP'!$I$3:$I$501,'Plan prihoda za unos u SAP'!$C$3:$C$501,"=11",'Plan prihoda za unos u SAP'!$K$3:$K$501,"=671")</f>
        <v>19803100</v>
      </c>
      <c r="F104" s="186">
        <f>SUMIFS('Plan prihoda za unos u SAP'!$I$3:$I$501,'Plan prihoda za unos u SAP'!$C$3:$C$501,"=12",'Plan prihoda za unos u SAP'!$K$3:$K$501,"=671")</f>
        <v>0</v>
      </c>
      <c r="G104" s="186">
        <f>SUMIFS('Plan prihoda za unos u SAP'!$I$3:$I$501,'Plan prihoda za unos u SAP'!$C$3:$C$501,"=31",'Plan prihoda za unos u SAP'!$K$3:$K$501,"=671")</f>
        <v>0</v>
      </c>
      <c r="H104" s="186">
        <f>SUMIFS('Plan prihoda za unos u SAP'!$I$3:$I$501,'Plan prihoda za unos u SAP'!$C$3:$C$501,"=41",'Plan prihoda za unos u SAP'!$K$3:$K$501,"=671")</f>
        <v>0</v>
      </c>
      <c r="I104" s="186">
        <f>SUMIFS('Plan prihoda za unos u SAP'!$I$3:$I$501,'Plan prihoda za unos u SAP'!$C$3:$C$501,"=43",'Plan prihoda za unos u SAP'!$K$3:$K$501,"=671")</f>
        <v>0</v>
      </c>
      <c r="J104" s="186">
        <f>SUMIFS('Plan prihoda za unos u SAP'!$I$3:$I$501,'Plan prihoda za unos u SAP'!$C$3:$C$501,"=51",'Plan prihoda za unos u SAP'!$K$3:$K$501,"=671")</f>
        <v>0</v>
      </c>
      <c r="K104" s="186">
        <f>SUMIFS('Plan prihoda za unos u SAP'!$I$3:$I$501,'Plan prihoda za unos u SAP'!$C$3:$C$501,"=52",'Plan prihoda za unos u SAP'!$K$3:$K$501,"=671")</f>
        <v>0</v>
      </c>
      <c r="L104" s="186">
        <f>SUMIFS('Plan prihoda za unos u SAP'!$I$3:$I$501,'Plan prihoda za unos u SAP'!$C$3:$C$501,"=552",'Plan prihoda za unos u SAP'!$K$3:$K$501,"=671")</f>
        <v>0</v>
      </c>
      <c r="M104" s="186">
        <f>SUMIFS('Plan prihoda za unos u SAP'!$I$3:$I$501,'Plan prihoda za unos u SAP'!$C$3:$C$501,"=559",'Plan prihoda za unos u SAP'!$K$3:$K$501,"=671")</f>
        <v>0</v>
      </c>
      <c r="N104" s="186">
        <f>SUMIFS('Plan prihoda za unos u SAP'!$I$3:$I$501,'Plan prihoda za unos u SAP'!$C$3:$C$501,"=561",'Plan prihoda za unos u SAP'!$K$3:$K$501,"=671")</f>
        <v>0</v>
      </c>
      <c r="O104" s="186">
        <f>SUMIFS('Plan prihoda za unos u SAP'!$I$3:$I$501,'Plan prihoda za unos u SAP'!$C$3:$C$501,"=563",'Plan prihoda za unos u SAP'!$K$3:$K$501,"=671")</f>
        <v>0</v>
      </c>
      <c r="P104" s="186">
        <f>SUMIFS('Plan prihoda za unos u SAP'!$I$3:$I$501,'Plan prihoda za unos u SAP'!$C$3:$C$501,"=573",'Plan prihoda za unos u SAP'!$K$3:$K$501,"=671")</f>
        <v>0</v>
      </c>
      <c r="Q104" s="186">
        <f>SUMIFS('Plan prihoda za unos u SAP'!$I$3:$I$501,'Plan prihoda za unos u SAP'!$C$3:$C$501,"=575",'Plan prihoda za unos u SAP'!$K$3:$K$501,"=671")</f>
        <v>0</v>
      </c>
      <c r="R104" s="186">
        <f>SUMIFS('Plan prihoda za unos u SAP'!$I$3:$I$501,'Plan prihoda za unos u SAP'!$C$3:$C$501,"=576",'Plan prihoda za unos u SAP'!$K$3:$K$501,"=671")</f>
        <v>0</v>
      </c>
      <c r="S104" s="186">
        <f>SUMIFS('Plan prihoda za unos u SAP'!$I$3:$I$501,'Plan prihoda za unos u SAP'!$C$3:$C$501,"=581",'Plan prihoda za unos u SAP'!$K$3:$K$501,"=671")</f>
        <v>0</v>
      </c>
      <c r="T104" s="186">
        <f>SUMIFS('Plan prihoda za unos u SAP'!$I$3:$I$501,'Plan prihoda za unos u SAP'!$C$3:$C$501,"=61",'Plan prihoda za unos u SAP'!$K$3:$K$501,"=671")</f>
        <v>0</v>
      </c>
      <c r="U104" s="186">
        <f>SUMIFS('Plan prihoda za unos u SAP'!$I$3:$I$501,'Plan prihoda za unos u SAP'!$C$3:$C$501,"=63",'Plan prihoda za unos u SAP'!$K$3:$K$501,"=671")</f>
        <v>0</v>
      </c>
      <c r="V104" s="186">
        <f>SUMIFS('Plan prihoda za unos u SAP'!$I$3:$I$501,'Plan prihoda za unos u SAP'!$C$3:$C$501,"=71",'Plan prihoda za unos u SAP'!$K$3:$K$501,"=671")</f>
        <v>0</v>
      </c>
      <c r="W104" s="186">
        <f>SUMIFS('Plan prihoda za unos u SAP'!$I$3:$I$501,'Plan prihoda za unos u SAP'!$C$3:$C$501,"=81",'Plan prihoda za unos u SAP'!$K$3:$K$501,"=671")</f>
        <v>0</v>
      </c>
    </row>
    <row r="105" spans="1:23" s="90" customFormat="1">
      <c r="A105" s="90">
        <v>2023</v>
      </c>
      <c r="B105" s="95" t="s">
        <v>295</v>
      </c>
      <c r="C105" s="96" t="s">
        <v>296</v>
      </c>
      <c r="D105" s="70">
        <f t="shared" si="22"/>
        <v>0</v>
      </c>
      <c r="E105" s="186">
        <f>SUMIFS('Plan prihoda za unos u SAP'!$I$3:$I$501,'Plan prihoda za unos u SAP'!$C$3:$C$501,"=11",'Plan prihoda za unos u SAP'!$K$3:$K$501,"=681")</f>
        <v>0</v>
      </c>
      <c r="F105" s="186">
        <f>SUMIFS('Plan prihoda za unos u SAP'!$I$3:$I$501,'Plan prihoda za unos u SAP'!$C$3:$C$501,"=12",'Plan prihoda za unos u SAP'!$K$3:$K$501,"=681")</f>
        <v>0</v>
      </c>
      <c r="G105" s="186">
        <f>SUMIFS('Plan prihoda za unos u SAP'!$I$3:$I$501,'Plan prihoda za unos u SAP'!$C$3:$C$501,"=31",'Plan prihoda za unos u SAP'!$K$3:$K$501,"=681")</f>
        <v>0</v>
      </c>
      <c r="H105" s="186">
        <f>SUMIFS('Plan prihoda za unos u SAP'!$I$3:$I$501,'Plan prihoda za unos u SAP'!$C$3:$C$501,"=41",'Plan prihoda za unos u SAP'!$K$3:$K$501,"=681")</f>
        <v>0</v>
      </c>
      <c r="I105" s="186">
        <f>SUMIFS('Plan prihoda za unos u SAP'!$I$3:$I$501,'Plan prihoda za unos u SAP'!$C$3:$C$501,"=43",'Plan prihoda za unos u SAP'!$K$3:$K$501,"=681")</f>
        <v>0</v>
      </c>
      <c r="J105" s="186">
        <f>SUMIFS('Plan prihoda za unos u SAP'!$I$3:$I$501,'Plan prihoda za unos u SAP'!$C$3:$C$501,"=51",'Plan prihoda za unos u SAP'!$K$3:$K$501,"=681")</f>
        <v>0</v>
      </c>
      <c r="K105" s="186">
        <f>SUMIFS('Plan prihoda za unos u SAP'!$I$3:$I$501,'Plan prihoda za unos u SAP'!$C$3:$C$501,"=52",'Plan prihoda za unos u SAP'!$K$3:$K$501,"=681")</f>
        <v>0</v>
      </c>
      <c r="L105" s="186">
        <f>SUMIFS('Plan prihoda za unos u SAP'!$I$3:$I$501,'Plan prihoda za unos u SAP'!$C$3:$C$501,"=552",'Plan prihoda za unos u SAP'!$K$3:$K$501,"=681")</f>
        <v>0</v>
      </c>
      <c r="M105" s="186">
        <f>SUMIFS('Plan prihoda za unos u SAP'!$I$3:$I$501,'Plan prihoda za unos u SAP'!$C$3:$C$501,"=559",'Plan prihoda za unos u SAP'!$K$3:$K$501,"=681")</f>
        <v>0</v>
      </c>
      <c r="N105" s="186">
        <f>SUMIFS('Plan prihoda za unos u SAP'!$I$3:$I$501,'Plan prihoda za unos u SAP'!$C$3:$C$501,"=561",'Plan prihoda za unos u SAP'!$K$3:$K$501,"=681")</f>
        <v>0</v>
      </c>
      <c r="O105" s="186">
        <f>SUMIFS('Plan prihoda za unos u SAP'!$I$3:$I$501,'Plan prihoda za unos u SAP'!$C$3:$C$501,"=563",'Plan prihoda za unos u SAP'!$K$3:$K$501,"=681")</f>
        <v>0</v>
      </c>
      <c r="P105" s="186">
        <f>SUMIFS('Plan prihoda za unos u SAP'!$I$3:$I$501,'Plan prihoda za unos u SAP'!$C$3:$C$501,"=573",'Plan prihoda za unos u SAP'!$K$3:$K$501,"=681")</f>
        <v>0</v>
      </c>
      <c r="Q105" s="186">
        <f>SUMIFS('Plan prihoda za unos u SAP'!$I$3:$I$501,'Plan prihoda za unos u SAP'!$C$3:$C$501,"=575",'Plan prihoda za unos u SAP'!$K$3:$K$501,"=681")</f>
        <v>0</v>
      </c>
      <c r="R105" s="186">
        <f>SUMIFS('Plan prihoda za unos u SAP'!$I$3:$I$501,'Plan prihoda za unos u SAP'!$C$3:$C$501,"=576",'Plan prihoda za unos u SAP'!$K$3:$K$501,"=681")</f>
        <v>0</v>
      </c>
      <c r="S105" s="186">
        <f>SUMIFS('Plan prihoda za unos u SAP'!$I$3:$I$501,'Plan prihoda za unos u SAP'!$C$3:$C$501,"=581",'Plan prihoda za unos u SAP'!$K$3:$K$501,"=681")</f>
        <v>0</v>
      </c>
      <c r="T105" s="186">
        <f>SUMIFS('Plan prihoda za unos u SAP'!$I$3:$I$501,'Plan prihoda za unos u SAP'!$C$3:$C$501,"=61",'Plan prihoda za unos u SAP'!$K$3:$K$501,"=681")</f>
        <v>0</v>
      </c>
      <c r="U105" s="186">
        <f>SUMIFS('Plan prihoda za unos u SAP'!$I$3:$I$501,'Plan prihoda za unos u SAP'!$C$3:$C$501,"=63",'Plan prihoda za unos u SAP'!$K$3:$K$501,"=681")</f>
        <v>0</v>
      </c>
      <c r="V105" s="186">
        <f>SUMIFS('Plan prihoda za unos u SAP'!$I$3:$I$501,'Plan prihoda za unos u SAP'!$C$3:$C$501,"=71",'Plan prihoda za unos u SAP'!$K$3:$K$501,"=681")</f>
        <v>0</v>
      </c>
      <c r="W105" s="186">
        <f>SUMIFS('Plan prihoda za unos u SAP'!$I$3:$I$501,'Plan prihoda za unos u SAP'!$C$3:$C$501,"=81",'Plan prihoda za unos u SAP'!$K$3:$K$501,"=681")</f>
        <v>0</v>
      </c>
    </row>
    <row r="106" spans="1:23" s="90" customFormat="1">
      <c r="A106" s="90">
        <v>2023</v>
      </c>
      <c r="B106" s="95" t="s">
        <v>297</v>
      </c>
      <c r="C106" s="96" t="s">
        <v>298</v>
      </c>
      <c r="D106" s="70">
        <f t="shared" si="22"/>
        <v>0</v>
      </c>
      <c r="E106" s="186">
        <f>SUMIFS('Plan prihoda za unos u SAP'!$I$3:$I$501,'Plan prihoda za unos u SAP'!$C$3:$C$501,"=11",'Plan prihoda za unos u SAP'!$K$3:$K$501,"=683")</f>
        <v>0</v>
      </c>
      <c r="F106" s="186">
        <f>SUMIFS('Plan prihoda za unos u SAP'!$I$3:$I$501,'Plan prihoda za unos u SAP'!$C$3:$C$501,"=12",'Plan prihoda za unos u SAP'!$K$3:$K$501,"=683")</f>
        <v>0</v>
      </c>
      <c r="G106" s="186">
        <f>SUMIFS('Plan prihoda za unos u SAP'!$I$3:$I$501,'Plan prihoda za unos u SAP'!$C$3:$C$501,"=31",'Plan prihoda za unos u SAP'!$K$3:$K$501,"=683")</f>
        <v>0</v>
      </c>
      <c r="H106" s="186">
        <f>SUMIFS('Plan prihoda za unos u SAP'!$I$3:$I$501,'Plan prihoda za unos u SAP'!$C$3:$C$501,"=41",'Plan prihoda za unos u SAP'!$K$3:$K$501,"=683")</f>
        <v>0</v>
      </c>
      <c r="I106" s="186">
        <f>SUMIFS('Plan prihoda za unos u SAP'!$I$3:$I$501,'Plan prihoda za unos u SAP'!$C$3:$C$501,"=43",'Plan prihoda za unos u SAP'!$K$3:$K$501,"=683")</f>
        <v>0</v>
      </c>
      <c r="J106" s="186">
        <f>SUMIFS('Plan prihoda za unos u SAP'!$I$3:$I$501,'Plan prihoda za unos u SAP'!$C$3:$C$501,"=51",'Plan prihoda za unos u SAP'!$K$3:$K$501,"=683")</f>
        <v>0</v>
      </c>
      <c r="K106" s="186">
        <f>SUMIFS('Plan prihoda za unos u SAP'!$I$3:$I$501,'Plan prihoda za unos u SAP'!$C$3:$C$501,"=52",'Plan prihoda za unos u SAP'!$K$3:$K$501,"=683")</f>
        <v>0</v>
      </c>
      <c r="L106" s="186">
        <f>SUMIFS('Plan prihoda za unos u SAP'!$I$3:$I$501,'Plan prihoda za unos u SAP'!$C$3:$C$501,"=552",'Plan prihoda za unos u SAP'!$K$3:$K$501,"=683")</f>
        <v>0</v>
      </c>
      <c r="M106" s="186">
        <f>SUMIFS('Plan prihoda za unos u SAP'!$I$3:$I$501,'Plan prihoda za unos u SAP'!$C$3:$C$501,"=559",'Plan prihoda za unos u SAP'!$K$3:$K$501,"=683")</f>
        <v>0</v>
      </c>
      <c r="N106" s="186">
        <f>SUMIFS('Plan prihoda za unos u SAP'!$I$3:$I$501,'Plan prihoda za unos u SAP'!$C$3:$C$501,"=561",'Plan prihoda za unos u SAP'!$K$3:$K$501,"=683")</f>
        <v>0</v>
      </c>
      <c r="O106" s="186">
        <f>SUMIFS('Plan prihoda za unos u SAP'!$I$3:$I$501,'Plan prihoda za unos u SAP'!$C$3:$C$501,"=563",'Plan prihoda za unos u SAP'!$K$3:$K$501,"=683")</f>
        <v>0</v>
      </c>
      <c r="P106" s="186">
        <f>SUMIFS('Plan prihoda za unos u SAP'!$I$3:$I$501,'Plan prihoda za unos u SAP'!$C$3:$C$501,"=573",'Plan prihoda za unos u SAP'!$K$3:$K$501,"=683")</f>
        <v>0</v>
      </c>
      <c r="Q106" s="186">
        <f>SUMIFS('Plan prihoda za unos u SAP'!$I$3:$I$501,'Plan prihoda za unos u SAP'!$C$3:$C$501,"=575",'Plan prihoda za unos u SAP'!$K$3:$K$501,"=683")</f>
        <v>0</v>
      </c>
      <c r="R106" s="186">
        <f>SUMIFS('Plan prihoda za unos u SAP'!$I$3:$I$501,'Plan prihoda za unos u SAP'!$C$3:$C$501,"=576",'Plan prihoda za unos u SAP'!$K$3:$K$501,"=683")</f>
        <v>0</v>
      </c>
      <c r="S106" s="186">
        <f>SUMIFS('Plan prihoda za unos u SAP'!$I$3:$I$501,'Plan prihoda za unos u SAP'!$C$3:$C$501,"=581",'Plan prihoda za unos u SAP'!$K$3:$K$501,"=683")</f>
        <v>0</v>
      </c>
      <c r="T106" s="186">
        <f>SUMIFS('Plan prihoda za unos u SAP'!$I$3:$I$501,'Plan prihoda za unos u SAP'!$C$3:$C$501,"=61",'Plan prihoda za unos u SAP'!$K$3:$K$501,"=683")</f>
        <v>0</v>
      </c>
      <c r="U106" s="186">
        <f>SUMIFS('Plan prihoda za unos u SAP'!$I$3:$I$501,'Plan prihoda za unos u SAP'!$C$3:$C$501,"=63",'Plan prihoda za unos u SAP'!$K$3:$K$501,"=683")</f>
        <v>0</v>
      </c>
      <c r="V106" s="186">
        <f>SUMIFS('Plan prihoda za unos u SAP'!$I$3:$I$501,'Plan prihoda za unos u SAP'!$C$3:$C$501,"=71",'Plan prihoda za unos u SAP'!$K$3:$K$501,"=683")</f>
        <v>0</v>
      </c>
      <c r="W106" s="186">
        <f>SUMIFS('Plan prihoda za unos u SAP'!$I$3:$I$501,'Plan prihoda za unos u SAP'!$C$3:$C$501,"=81",'Plan prihoda za unos u SAP'!$K$3:$K$501,"=683")</f>
        <v>0</v>
      </c>
    </row>
    <row r="107" spans="1:23" s="90" customFormat="1">
      <c r="A107" s="90">
        <v>2023</v>
      </c>
      <c r="B107" s="98" t="s">
        <v>299</v>
      </c>
      <c r="C107" s="99" t="s">
        <v>300</v>
      </c>
      <c r="D107" s="70">
        <f t="shared" si="22"/>
        <v>35407600</v>
      </c>
      <c r="E107" s="4">
        <f>SUM(E91:E106)</f>
        <v>19803100</v>
      </c>
      <c r="F107" s="4">
        <f t="shared" ref="F107:W107" si="27">SUM(F91:F106)</f>
        <v>0</v>
      </c>
      <c r="G107" s="4">
        <f t="shared" si="27"/>
        <v>718000</v>
      </c>
      <c r="H107" s="4">
        <f t="shared" si="27"/>
        <v>0</v>
      </c>
      <c r="I107" s="4">
        <f t="shared" si="27"/>
        <v>14595500</v>
      </c>
      <c r="J107" s="4">
        <f t="shared" si="27"/>
        <v>0</v>
      </c>
      <c r="K107" s="4">
        <f t="shared" si="27"/>
        <v>145500</v>
      </c>
      <c r="L107" s="4">
        <f t="shared" si="27"/>
        <v>0</v>
      </c>
      <c r="M107" s="4">
        <f t="shared" si="27"/>
        <v>0</v>
      </c>
      <c r="N107" s="4">
        <f t="shared" si="27"/>
        <v>0</v>
      </c>
      <c r="O107" s="4">
        <f t="shared" si="27"/>
        <v>0</v>
      </c>
      <c r="P107" s="4">
        <f t="shared" si="27"/>
        <v>0</v>
      </c>
      <c r="Q107" s="4">
        <f t="shared" si="27"/>
        <v>0</v>
      </c>
      <c r="R107" s="4">
        <f t="shared" ref="R107" si="28">SUM(R91:R106)</f>
        <v>0</v>
      </c>
      <c r="S107" s="4">
        <f>SUM(S91:S106)</f>
        <v>0</v>
      </c>
      <c r="T107" s="4">
        <f t="shared" si="27"/>
        <v>145500</v>
      </c>
      <c r="U107" s="4">
        <f t="shared" si="27"/>
        <v>0</v>
      </c>
      <c r="V107" s="4">
        <f t="shared" si="27"/>
        <v>0</v>
      </c>
      <c r="W107" s="4">
        <f t="shared" si="27"/>
        <v>0</v>
      </c>
    </row>
    <row r="108" spans="1:23" s="90" customFormat="1">
      <c r="A108" s="90">
        <v>2023</v>
      </c>
      <c r="B108" s="95" t="s">
        <v>311</v>
      </c>
      <c r="C108" s="100" t="s">
        <v>312</v>
      </c>
      <c r="D108" s="70">
        <f t="shared" si="22"/>
        <v>0</v>
      </c>
      <c r="E108" s="186">
        <f>SUMIFS('Plan prihoda za unos u SAP'!$I$3:$I$501,'Plan prihoda za unos u SAP'!$C$3:$C$501,"=11",'Plan prihoda za unos u SAP'!$K$3:$K$501,"=711")</f>
        <v>0</v>
      </c>
      <c r="F108" s="186">
        <f>SUMIFS('Plan prihoda za unos u SAP'!$I$3:$I$501,'Plan prihoda za unos u SAP'!$C$3:$C$501,"=12",'Plan prihoda za unos u SAP'!$K$3:$K$501,"=711")</f>
        <v>0</v>
      </c>
      <c r="G108" s="186">
        <f>SUMIFS('Plan prihoda za unos u SAP'!$I$3:$I$501,'Plan prihoda za unos u SAP'!$C$3:$C$501,"=31",'Plan prihoda za unos u SAP'!$K$3:$K$501,"=711")</f>
        <v>0</v>
      </c>
      <c r="H108" s="186">
        <f>SUMIFS('Plan prihoda za unos u SAP'!$I$3:$I$501,'Plan prihoda za unos u SAP'!$C$3:$C$501,"=41",'Plan prihoda za unos u SAP'!$K$3:$K$501,"=711")</f>
        <v>0</v>
      </c>
      <c r="I108" s="186">
        <f>SUMIFS('Plan prihoda za unos u SAP'!$I$3:$I$501,'Plan prihoda za unos u SAP'!$C$3:$C$501,"=43",'Plan prihoda za unos u SAP'!$K$3:$K$501,"=711")</f>
        <v>0</v>
      </c>
      <c r="J108" s="186">
        <f>SUMIFS('Plan prihoda za unos u SAP'!$I$3:$I$501,'Plan prihoda za unos u SAP'!$C$3:$C$501,"=51",'Plan prihoda za unos u SAP'!$K$3:$K$501,"=711")</f>
        <v>0</v>
      </c>
      <c r="K108" s="186">
        <f>SUMIFS('Plan prihoda za unos u SAP'!$I$3:$I$501,'Plan prihoda za unos u SAP'!$C$3:$C$501,"=52",'Plan prihoda za unos u SAP'!$K$3:$K$501,"=711")</f>
        <v>0</v>
      </c>
      <c r="L108" s="186">
        <f>SUMIFS('Plan prihoda za unos u SAP'!$I$3:$I$501,'Plan prihoda za unos u SAP'!$C$3:$C$501,"=552",'Plan prihoda za unos u SAP'!$K$3:$K$501,"=711")</f>
        <v>0</v>
      </c>
      <c r="M108" s="186">
        <f>SUMIFS('Plan prihoda za unos u SAP'!$I$3:$I$501,'Plan prihoda za unos u SAP'!$C$3:$C$501,"=559",'Plan prihoda za unos u SAP'!$K$3:$K$501,"=711")</f>
        <v>0</v>
      </c>
      <c r="N108" s="186">
        <f>SUMIFS('Plan prihoda za unos u SAP'!$I$3:$I$501,'Plan prihoda za unos u SAP'!$C$3:$C$501,"=561",'Plan prihoda za unos u SAP'!$K$3:$K$501,"=711")</f>
        <v>0</v>
      </c>
      <c r="O108" s="186">
        <f>SUMIFS('Plan prihoda za unos u SAP'!$I$3:$I$501,'Plan prihoda za unos u SAP'!$C$3:$C$501,"=563",'Plan prihoda za unos u SAP'!$K$3:$K$501,"=711")</f>
        <v>0</v>
      </c>
      <c r="P108" s="186">
        <f>SUMIFS('Plan prihoda za unos u SAP'!$I$3:$I$501,'Plan prihoda za unos u SAP'!$C$3:$C$501,"=573",'Plan prihoda za unos u SAP'!$K$3:$K$501,"=711")</f>
        <v>0</v>
      </c>
      <c r="Q108" s="186">
        <f>SUMIFS('Plan prihoda za unos u SAP'!$I$3:$I$501,'Plan prihoda za unos u SAP'!$C$3:$C$501,"=575",'Plan prihoda za unos u SAP'!$K$3:$K$501,"=711")</f>
        <v>0</v>
      </c>
      <c r="R108" s="186">
        <f>SUMIFS('Plan prihoda za unos u SAP'!$I$3:$I$501,'Plan prihoda za unos u SAP'!$C$3:$C$501,"=576",'Plan prihoda za unos u SAP'!$K$3:$K$501,"=711")</f>
        <v>0</v>
      </c>
      <c r="S108" s="186">
        <f>SUMIFS('Plan prihoda za unos u SAP'!$I$3:$I$501,'Plan prihoda za unos u SAP'!$C$3:$C$501,"=581",'Plan prihoda za unos u SAP'!$K$3:$K$501,"=711")</f>
        <v>0</v>
      </c>
      <c r="T108" s="186">
        <f>SUMIFS('Plan prihoda za unos u SAP'!$I$3:$I$501,'Plan prihoda za unos u SAP'!$C$3:$C$501,"=61",'Plan prihoda za unos u SAP'!$K$3:$K$501,"=711")</f>
        <v>0</v>
      </c>
      <c r="U108" s="186">
        <f>SUMIFS('Plan prihoda za unos u SAP'!$I$3:$I$501,'Plan prihoda za unos u SAP'!$C$3:$C$501,"=63",'Plan prihoda za unos u SAP'!$K$3:$K$501,"=711")</f>
        <v>0</v>
      </c>
      <c r="V108" s="186">
        <f>SUMIFS('Plan prihoda za unos u SAP'!$I$3:$I$501,'Plan prihoda za unos u SAP'!$C$3:$C$501,"=71",'Plan prihoda za unos u SAP'!$K$3:$K$501,"=711")</f>
        <v>0</v>
      </c>
      <c r="W108" s="186">
        <f>SUMIFS('Plan prihoda za unos u SAP'!$I$3:$I$501,'Plan prihoda za unos u SAP'!$C$3:$C$501,"=81",'Plan prihoda za unos u SAP'!$K$3:$K$501,"=711")</f>
        <v>0</v>
      </c>
    </row>
    <row r="109" spans="1:23" s="90" customFormat="1">
      <c r="A109" s="90">
        <v>2023</v>
      </c>
      <c r="B109" s="95" t="s">
        <v>313</v>
      </c>
      <c r="C109" s="100" t="s">
        <v>314</v>
      </c>
      <c r="D109" s="70">
        <f t="shared" si="22"/>
        <v>0</v>
      </c>
      <c r="E109" s="186">
        <f>SUMIFS('Plan prihoda za unos u SAP'!$I$3:$I$501,'Plan prihoda za unos u SAP'!$C$3:$C$501,"=11",'Plan prihoda za unos u SAP'!$K$3:$K$501,"=712")</f>
        <v>0</v>
      </c>
      <c r="F109" s="186">
        <f>SUMIFS('Plan prihoda za unos u SAP'!$I$3:$I$501,'Plan prihoda za unos u SAP'!$C$3:$C$501,"=12",'Plan prihoda za unos u SAP'!$K$3:$K$501,"=712")</f>
        <v>0</v>
      </c>
      <c r="G109" s="186">
        <f>SUMIFS('Plan prihoda za unos u SAP'!$I$3:$I$501,'Plan prihoda za unos u SAP'!$C$3:$C$501,"=31",'Plan prihoda za unos u SAP'!$K$3:$K$501,"=712")</f>
        <v>0</v>
      </c>
      <c r="H109" s="186">
        <f>SUMIFS('Plan prihoda za unos u SAP'!$I$3:$I$501,'Plan prihoda za unos u SAP'!$C$3:$C$501,"=41",'Plan prihoda za unos u SAP'!$K$3:$K$501,"=712")</f>
        <v>0</v>
      </c>
      <c r="I109" s="186">
        <f>SUMIFS('Plan prihoda za unos u SAP'!$I$3:$I$501,'Plan prihoda za unos u SAP'!$C$3:$C$501,"=43",'Plan prihoda za unos u SAP'!$K$3:$K$501,"=712")</f>
        <v>0</v>
      </c>
      <c r="J109" s="186">
        <f>SUMIFS('Plan prihoda za unos u SAP'!$I$3:$I$501,'Plan prihoda za unos u SAP'!$C$3:$C$501,"=51",'Plan prihoda za unos u SAP'!$K$3:$K$501,"=712")</f>
        <v>0</v>
      </c>
      <c r="K109" s="186">
        <f>SUMIFS('Plan prihoda za unos u SAP'!$I$3:$I$501,'Plan prihoda za unos u SAP'!$C$3:$C$501,"=52",'Plan prihoda za unos u SAP'!$K$3:$K$501,"=712")</f>
        <v>0</v>
      </c>
      <c r="L109" s="186">
        <f>SUMIFS('Plan prihoda za unos u SAP'!$I$3:$I$501,'Plan prihoda za unos u SAP'!$C$3:$C$501,"=552",'Plan prihoda za unos u SAP'!$K$3:$K$501,"=712")</f>
        <v>0</v>
      </c>
      <c r="M109" s="186">
        <f>SUMIFS('Plan prihoda za unos u SAP'!$I$3:$I$501,'Plan prihoda za unos u SAP'!$C$3:$C$501,"=559",'Plan prihoda za unos u SAP'!$K$3:$K$501,"=712")</f>
        <v>0</v>
      </c>
      <c r="N109" s="186">
        <f>SUMIFS('Plan prihoda za unos u SAP'!$I$3:$I$501,'Plan prihoda za unos u SAP'!$C$3:$C$501,"=561",'Plan prihoda za unos u SAP'!$K$3:$K$501,"=712")</f>
        <v>0</v>
      </c>
      <c r="O109" s="186">
        <f>SUMIFS('Plan prihoda za unos u SAP'!$I$3:$I$501,'Plan prihoda za unos u SAP'!$C$3:$C$501,"=563",'Plan prihoda za unos u SAP'!$K$3:$K$501,"=712")</f>
        <v>0</v>
      </c>
      <c r="P109" s="186">
        <f>SUMIFS('Plan prihoda za unos u SAP'!$I$3:$I$501,'Plan prihoda za unos u SAP'!$C$3:$C$501,"=573",'Plan prihoda za unos u SAP'!$K$3:$K$501,"=712")</f>
        <v>0</v>
      </c>
      <c r="Q109" s="186">
        <f>SUMIFS('Plan prihoda za unos u SAP'!$I$3:$I$501,'Plan prihoda za unos u SAP'!$C$3:$C$501,"=575",'Plan prihoda za unos u SAP'!$K$3:$K$501,"=712")</f>
        <v>0</v>
      </c>
      <c r="R109" s="186">
        <f>SUMIFS('Plan prihoda za unos u SAP'!$I$3:$I$501,'Plan prihoda za unos u SAP'!$C$3:$C$501,"=576",'Plan prihoda za unos u SAP'!$K$3:$K$501,"=712")</f>
        <v>0</v>
      </c>
      <c r="S109" s="186">
        <f>SUMIFS('Plan prihoda za unos u SAP'!$I$3:$I$501,'Plan prihoda za unos u SAP'!$C$3:$C$501,"=581",'Plan prihoda za unos u SAP'!$K$3:$K$501,"=712")</f>
        <v>0</v>
      </c>
      <c r="T109" s="186">
        <f>SUMIFS('Plan prihoda za unos u SAP'!$I$3:$I$501,'Plan prihoda za unos u SAP'!$C$3:$C$501,"=61",'Plan prihoda za unos u SAP'!$K$3:$K$501,"=712")</f>
        <v>0</v>
      </c>
      <c r="U109" s="186">
        <f>SUMIFS('Plan prihoda za unos u SAP'!$I$3:$I$501,'Plan prihoda za unos u SAP'!$C$3:$C$501,"=63",'Plan prihoda za unos u SAP'!$K$3:$K$501,"=712")</f>
        <v>0</v>
      </c>
      <c r="V109" s="186">
        <f>SUMIFS('Plan prihoda za unos u SAP'!$I$3:$I$501,'Plan prihoda za unos u SAP'!$C$3:$C$501,"=71",'Plan prihoda za unos u SAP'!$K$3:$K$501,"=712")</f>
        <v>0</v>
      </c>
      <c r="W109" s="186">
        <f>SUMIFS('Plan prihoda za unos u SAP'!$I$3:$I$501,'Plan prihoda za unos u SAP'!$C$3:$C$501,"=81",'Plan prihoda za unos u SAP'!$K$3:$K$501,"=712")</f>
        <v>0</v>
      </c>
    </row>
    <row r="110" spans="1:23" s="90" customFormat="1">
      <c r="A110" s="90">
        <v>2023</v>
      </c>
      <c r="B110" s="95" t="s">
        <v>301</v>
      </c>
      <c r="C110" s="100" t="s">
        <v>302</v>
      </c>
      <c r="D110" s="70">
        <f t="shared" si="22"/>
        <v>2000</v>
      </c>
      <c r="E110" s="186">
        <f>SUMIFS('Plan prihoda za unos u SAP'!$I$3:$I$501,'Plan prihoda za unos u SAP'!$C$3:$C$501,"=11",'Plan prihoda za unos u SAP'!$K$3:$K$501,"=721")</f>
        <v>0</v>
      </c>
      <c r="F110" s="186">
        <f>SUMIFS('Plan prihoda za unos u SAP'!$I$3:$I$501,'Plan prihoda za unos u SAP'!$C$3:$C$501,"=12",'Plan prihoda za unos u SAP'!$K$3:$K$501,"=721")</f>
        <v>0</v>
      </c>
      <c r="G110" s="186">
        <f>SUMIFS('Plan prihoda za unos u SAP'!$I$3:$I$501,'Plan prihoda za unos u SAP'!$C$3:$C$501,"=31",'Plan prihoda za unos u SAP'!$K$3:$K$501,"=721")</f>
        <v>0</v>
      </c>
      <c r="H110" s="186">
        <f>SUMIFS('Plan prihoda za unos u SAP'!$I$3:$I$501,'Plan prihoda za unos u SAP'!$C$3:$C$501,"=41",'Plan prihoda za unos u SAP'!$K$3:$K$501,"=721")</f>
        <v>0</v>
      </c>
      <c r="I110" s="186">
        <f>SUMIFS('Plan prihoda za unos u SAP'!$I$3:$I$501,'Plan prihoda za unos u SAP'!$C$3:$C$501,"=43",'Plan prihoda za unos u SAP'!$K$3:$K$501,"=721")</f>
        <v>0</v>
      </c>
      <c r="J110" s="186">
        <f>SUMIFS('Plan prihoda za unos u SAP'!$I$3:$I$501,'Plan prihoda za unos u SAP'!$C$3:$C$501,"=51",'Plan prihoda za unos u SAP'!$K$3:$K$501,"=721")</f>
        <v>0</v>
      </c>
      <c r="K110" s="186">
        <f>SUMIFS('Plan prihoda za unos u SAP'!$I$3:$I$501,'Plan prihoda za unos u SAP'!$C$3:$C$501,"=52",'Plan prihoda za unos u SAP'!$K$3:$K$501,"=721")</f>
        <v>0</v>
      </c>
      <c r="L110" s="186">
        <f>SUMIFS('Plan prihoda za unos u SAP'!$I$3:$I$501,'Plan prihoda za unos u SAP'!$C$3:$C$501,"=552",'Plan prihoda za unos u SAP'!$K$3:$K$501,"=721")</f>
        <v>0</v>
      </c>
      <c r="M110" s="186">
        <f>SUMIFS('Plan prihoda za unos u SAP'!$I$3:$I$501,'Plan prihoda za unos u SAP'!$C$3:$C$501,"=559",'Plan prihoda za unos u SAP'!$K$3:$K$501,"=721")</f>
        <v>0</v>
      </c>
      <c r="N110" s="186">
        <f>SUMIFS('Plan prihoda za unos u SAP'!$I$3:$I$501,'Plan prihoda za unos u SAP'!$C$3:$C$501,"=561",'Plan prihoda za unos u SAP'!$K$3:$K$501,"=721")</f>
        <v>0</v>
      </c>
      <c r="O110" s="186">
        <f>SUMIFS('Plan prihoda za unos u SAP'!$I$3:$I$501,'Plan prihoda za unos u SAP'!$C$3:$C$501,"=563",'Plan prihoda za unos u SAP'!$K$3:$K$501,"=721")</f>
        <v>0</v>
      </c>
      <c r="P110" s="186">
        <f>SUMIFS('Plan prihoda za unos u SAP'!$I$3:$I$501,'Plan prihoda za unos u SAP'!$C$3:$C$501,"=573",'Plan prihoda za unos u SAP'!$K$3:$K$501,"=721")</f>
        <v>0</v>
      </c>
      <c r="Q110" s="186">
        <f>SUMIFS('Plan prihoda za unos u SAP'!$I$3:$I$501,'Plan prihoda za unos u SAP'!$C$3:$C$501,"=575",'Plan prihoda za unos u SAP'!$K$3:$K$501,"=721")</f>
        <v>0</v>
      </c>
      <c r="R110" s="186">
        <f>SUMIFS('Plan prihoda za unos u SAP'!$I$3:$I$501,'Plan prihoda za unos u SAP'!$C$3:$C$501,"=576",'Plan prihoda za unos u SAP'!$K$3:$K$501,"=721")</f>
        <v>0</v>
      </c>
      <c r="S110" s="186">
        <f>SUMIFS('Plan prihoda za unos u SAP'!$I$3:$I$501,'Plan prihoda za unos u SAP'!$C$3:$C$501,"=581",'Plan prihoda za unos u SAP'!$K$3:$K$501,"=721")</f>
        <v>0</v>
      </c>
      <c r="T110" s="186">
        <f>SUMIFS('Plan prihoda za unos u SAP'!$I$3:$I$501,'Plan prihoda za unos u SAP'!$C$3:$C$501,"=61",'Plan prihoda za unos u SAP'!$K$3:$K$501,"=721")</f>
        <v>0</v>
      </c>
      <c r="U110" s="186">
        <f>SUMIFS('Plan prihoda za unos u SAP'!$I$3:$I$501,'Plan prihoda za unos u SAP'!$C$3:$C$501,"=63",'Plan prihoda za unos u SAP'!$K$3:$K$501,"=721")</f>
        <v>0</v>
      </c>
      <c r="V110" s="186">
        <f>SUMIFS('Plan prihoda za unos u SAP'!$I$3:$I$501,'Plan prihoda za unos u SAP'!$C$3:$C$501,"=71",'Plan prihoda za unos u SAP'!$K$3:$K$501,"=721")</f>
        <v>2000</v>
      </c>
      <c r="W110" s="186">
        <f>SUMIFS('Plan prihoda za unos u SAP'!$I$3:$I$501,'Plan prihoda za unos u SAP'!$C$3:$C$501,"=81",'Plan prihoda za unos u SAP'!$K$3:$K$501,"=721")</f>
        <v>0</v>
      </c>
    </row>
    <row r="111" spans="1:23" s="90" customFormat="1">
      <c r="A111" s="90">
        <v>2023</v>
      </c>
      <c r="B111" s="95" t="s">
        <v>303</v>
      </c>
      <c r="C111" s="100" t="s">
        <v>304</v>
      </c>
      <c r="D111" s="70">
        <f t="shared" si="22"/>
        <v>0</v>
      </c>
      <c r="E111" s="186">
        <f>SUMIFS('Plan prihoda za unos u SAP'!$I$3:$I$501,'Plan prihoda za unos u SAP'!$C$3:$C$501,"=11",'Plan prihoda za unos u SAP'!$K$3:$K$501,"=722")</f>
        <v>0</v>
      </c>
      <c r="F111" s="186">
        <f>SUMIFS('Plan prihoda za unos u SAP'!$I$3:$I$501,'Plan prihoda za unos u SAP'!$C$3:$C$501,"=12",'Plan prihoda za unos u SAP'!$K$3:$K$501,"=722")</f>
        <v>0</v>
      </c>
      <c r="G111" s="186">
        <f>SUMIFS('Plan prihoda za unos u SAP'!$I$3:$I$501,'Plan prihoda za unos u SAP'!$C$3:$C$501,"=31",'Plan prihoda za unos u SAP'!$K$3:$K$501,"=722")</f>
        <v>0</v>
      </c>
      <c r="H111" s="186">
        <f>SUMIFS('Plan prihoda za unos u SAP'!$I$3:$I$501,'Plan prihoda za unos u SAP'!$C$3:$C$501,"=41",'Plan prihoda za unos u SAP'!$K$3:$K$501,"=722")</f>
        <v>0</v>
      </c>
      <c r="I111" s="186">
        <f>SUMIFS('Plan prihoda za unos u SAP'!$I$3:$I$501,'Plan prihoda za unos u SAP'!$C$3:$C$501,"=43",'Plan prihoda za unos u SAP'!$K$3:$K$501,"=722")</f>
        <v>0</v>
      </c>
      <c r="J111" s="186">
        <f>SUMIFS('Plan prihoda za unos u SAP'!$I$3:$I$501,'Plan prihoda za unos u SAP'!$C$3:$C$501,"=51",'Plan prihoda za unos u SAP'!$K$3:$K$501,"=722")</f>
        <v>0</v>
      </c>
      <c r="K111" s="186">
        <f>SUMIFS('Plan prihoda za unos u SAP'!$I$3:$I$501,'Plan prihoda za unos u SAP'!$C$3:$C$501,"=52",'Plan prihoda za unos u SAP'!$K$3:$K$501,"=722")</f>
        <v>0</v>
      </c>
      <c r="L111" s="186">
        <f>SUMIFS('Plan prihoda za unos u SAP'!$I$3:$I$501,'Plan prihoda za unos u SAP'!$C$3:$C$501,"=552",'Plan prihoda za unos u SAP'!$K$3:$K$501,"=722")</f>
        <v>0</v>
      </c>
      <c r="M111" s="186">
        <f>SUMIFS('Plan prihoda za unos u SAP'!$I$3:$I$501,'Plan prihoda za unos u SAP'!$C$3:$C$501,"=559",'Plan prihoda za unos u SAP'!$K$3:$K$501,"=722")</f>
        <v>0</v>
      </c>
      <c r="N111" s="186">
        <f>SUMIFS('Plan prihoda za unos u SAP'!$I$3:$I$501,'Plan prihoda za unos u SAP'!$C$3:$C$501,"=561",'Plan prihoda za unos u SAP'!$K$3:$K$501,"=722")</f>
        <v>0</v>
      </c>
      <c r="O111" s="186">
        <f>SUMIFS('Plan prihoda za unos u SAP'!$I$3:$I$501,'Plan prihoda za unos u SAP'!$C$3:$C$501,"=563",'Plan prihoda za unos u SAP'!$K$3:$K$501,"=722")</f>
        <v>0</v>
      </c>
      <c r="P111" s="186">
        <f>SUMIFS('Plan prihoda za unos u SAP'!$I$3:$I$501,'Plan prihoda za unos u SAP'!$C$3:$C$501,"=573",'Plan prihoda za unos u SAP'!$K$3:$K$501,"=722")</f>
        <v>0</v>
      </c>
      <c r="Q111" s="186">
        <f>SUMIFS('Plan prihoda za unos u SAP'!$I$3:$I$501,'Plan prihoda za unos u SAP'!$C$3:$C$501,"=575",'Plan prihoda za unos u SAP'!$K$3:$K$501,"=722")</f>
        <v>0</v>
      </c>
      <c r="R111" s="186">
        <f>SUMIFS('Plan prihoda za unos u SAP'!$I$3:$I$501,'Plan prihoda za unos u SAP'!$C$3:$C$501,"=576",'Plan prihoda za unos u SAP'!$K$3:$K$501,"=722")</f>
        <v>0</v>
      </c>
      <c r="S111" s="186">
        <f>SUMIFS('Plan prihoda za unos u SAP'!$I$3:$I$501,'Plan prihoda za unos u SAP'!$C$3:$C$501,"=581",'Plan prihoda za unos u SAP'!$K$3:$K$501,"=722")</f>
        <v>0</v>
      </c>
      <c r="T111" s="186">
        <f>SUMIFS('Plan prihoda za unos u SAP'!$I$3:$I$501,'Plan prihoda za unos u SAP'!$C$3:$C$501,"=61",'Plan prihoda za unos u SAP'!$K$3:$K$501,"=722")</f>
        <v>0</v>
      </c>
      <c r="U111" s="186">
        <f>SUMIFS('Plan prihoda za unos u SAP'!$I$3:$I$501,'Plan prihoda za unos u SAP'!$C$3:$C$501,"=63",'Plan prihoda za unos u SAP'!$K$3:$K$501,"=722")</f>
        <v>0</v>
      </c>
      <c r="V111" s="186">
        <f>SUMIFS('Plan prihoda za unos u SAP'!$I$3:$I$501,'Plan prihoda za unos u SAP'!$C$3:$C$501,"=71",'Plan prihoda za unos u SAP'!$K$3:$K$501,"=722")</f>
        <v>0</v>
      </c>
      <c r="W111" s="186">
        <f>SUMIFS('Plan prihoda za unos u SAP'!$I$3:$I$501,'Plan prihoda za unos u SAP'!$C$3:$C$501,"=81",'Plan prihoda za unos u SAP'!$K$3:$K$501,"=722")</f>
        <v>0</v>
      </c>
    </row>
    <row r="112" spans="1:23" s="90" customFormat="1">
      <c r="A112" s="90">
        <v>2023</v>
      </c>
      <c r="B112" s="95" t="s">
        <v>305</v>
      </c>
      <c r="C112" s="100" t="s">
        <v>306</v>
      </c>
      <c r="D112" s="70">
        <f t="shared" si="22"/>
        <v>0</v>
      </c>
      <c r="E112" s="186">
        <f>SUMIFS('Plan prihoda za unos u SAP'!$I$3:$I$501,'Plan prihoda za unos u SAP'!$C$3:$C$501,"=11",'Plan prihoda za unos u SAP'!$K$3:$K$501,"=723")</f>
        <v>0</v>
      </c>
      <c r="F112" s="186">
        <f>SUMIFS('Plan prihoda za unos u SAP'!$I$3:$I$501,'Plan prihoda za unos u SAP'!$C$3:$C$501,"=12",'Plan prihoda za unos u SAP'!$K$3:$K$501,"=723")</f>
        <v>0</v>
      </c>
      <c r="G112" s="186">
        <f>SUMIFS('Plan prihoda za unos u SAP'!$I$3:$I$501,'Plan prihoda za unos u SAP'!$C$3:$C$501,"=31",'Plan prihoda za unos u SAP'!$K$3:$K$501,"=723")</f>
        <v>0</v>
      </c>
      <c r="H112" s="186">
        <f>SUMIFS('Plan prihoda za unos u SAP'!$I$3:$I$501,'Plan prihoda za unos u SAP'!$C$3:$C$501,"=41",'Plan prihoda za unos u SAP'!$K$3:$K$501,"=723")</f>
        <v>0</v>
      </c>
      <c r="I112" s="186">
        <f>SUMIFS('Plan prihoda za unos u SAP'!$I$3:$I$501,'Plan prihoda za unos u SAP'!$C$3:$C$501,"=43",'Plan prihoda za unos u SAP'!$K$3:$K$501,"=723")</f>
        <v>0</v>
      </c>
      <c r="J112" s="186">
        <f>SUMIFS('Plan prihoda za unos u SAP'!$I$3:$I$501,'Plan prihoda za unos u SAP'!$C$3:$C$501,"=51",'Plan prihoda za unos u SAP'!$K$3:$K$501,"=723")</f>
        <v>0</v>
      </c>
      <c r="K112" s="186">
        <f>SUMIFS('Plan prihoda za unos u SAP'!$I$3:$I$501,'Plan prihoda za unos u SAP'!$C$3:$C$501,"=52",'Plan prihoda za unos u SAP'!$K$3:$K$501,"=723")</f>
        <v>0</v>
      </c>
      <c r="L112" s="186">
        <f>SUMIFS('Plan prihoda za unos u SAP'!$I$3:$I$501,'Plan prihoda za unos u SAP'!$C$3:$C$501,"=552",'Plan prihoda za unos u SAP'!$K$3:$K$501,"=723")</f>
        <v>0</v>
      </c>
      <c r="M112" s="186">
        <f>SUMIFS('Plan prihoda za unos u SAP'!$I$3:$I$501,'Plan prihoda za unos u SAP'!$C$3:$C$501,"=559",'Plan prihoda za unos u SAP'!$K$3:$K$501,"=723")</f>
        <v>0</v>
      </c>
      <c r="N112" s="186">
        <f>SUMIFS('Plan prihoda za unos u SAP'!$I$3:$I$501,'Plan prihoda za unos u SAP'!$C$3:$C$501,"=561",'Plan prihoda za unos u SAP'!$K$3:$K$501,"=723")</f>
        <v>0</v>
      </c>
      <c r="O112" s="186">
        <f>SUMIFS('Plan prihoda za unos u SAP'!$I$3:$I$501,'Plan prihoda za unos u SAP'!$C$3:$C$501,"=563",'Plan prihoda za unos u SAP'!$K$3:$K$501,"=723")</f>
        <v>0</v>
      </c>
      <c r="P112" s="186">
        <f>SUMIFS('Plan prihoda za unos u SAP'!$I$3:$I$501,'Plan prihoda za unos u SAP'!$C$3:$C$501,"=573",'Plan prihoda za unos u SAP'!$K$3:$K$501,"=723")</f>
        <v>0</v>
      </c>
      <c r="Q112" s="186">
        <f>SUMIFS('Plan prihoda za unos u SAP'!$I$3:$I$501,'Plan prihoda za unos u SAP'!$C$3:$C$501,"=575",'Plan prihoda za unos u SAP'!$K$3:$K$501,"=723")</f>
        <v>0</v>
      </c>
      <c r="R112" s="186">
        <f>SUMIFS('Plan prihoda za unos u SAP'!$I$3:$I$501,'Plan prihoda za unos u SAP'!$C$3:$C$501,"=576",'Plan prihoda za unos u SAP'!$K$3:$K$501,"=723")</f>
        <v>0</v>
      </c>
      <c r="S112" s="186">
        <f>SUMIFS('Plan prihoda za unos u SAP'!$I$3:$I$501,'Plan prihoda za unos u SAP'!$C$3:$C$501,"=581",'Plan prihoda za unos u SAP'!$K$3:$K$501,"=723")</f>
        <v>0</v>
      </c>
      <c r="T112" s="186">
        <f>SUMIFS('Plan prihoda za unos u SAP'!$I$3:$I$501,'Plan prihoda za unos u SAP'!$C$3:$C$501,"=61",'Plan prihoda za unos u SAP'!$K$3:$K$501,"=723")</f>
        <v>0</v>
      </c>
      <c r="U112" s="186">
        <f>SUMIFS('Plan prihoda za unos u SAP'!$I$3:$I$501,'Plan prihoda za unos u SAP'!$C$3:$C$501,"=63",'Plan prihoda za unos u SAP'!$K$3:$K$501,"=723")</f>
        <v>0</v>
      </c>
      <c r="V112" s="186">
        <f>SUMIFS('Plan prihoda za unos u SAP'!$I$3:$I$501,'Plan prihoda za unos u SAP'!$C$3:$C$501,"=71",'Plan prihoda za unos u SAP'!$K$3:$K$501,"=723")</f>
        <v>0</v>
      </c>
      <c r="W112" s="186">
        <f>SUMIFS('Plan prihoda za unos u SAP'!$I$3:$I$501,'Plan prihoda za unos u SAP'!$C$3:$C$501,"=81",'Plan prihoda za unos u SAP'!$K$3:$K$501,"=723")</f>
        <v>0</v>
      </c>
    </row>
    <row r="113" spans="1:23" s="90" customFormat="1">
      <c r="A113" s="90">
        <v>2023</v>
      </c>
      <c r="B113" s="95" t="s">
        <v>315</v>
      </c>
      <c r="C113" s="100" t="s">
        <v>316</v>
      </c>
      <c r="D113" s="70">
        <f t="shared" si="22"/>
        <v>0</v>
      </c>
      <c r="E113" s="186">
        <f>SUMIFS('Plan prihoda za unos u SAP'!$I$3:$I$501,'Plan prihoda za unos u SAP'!$C$3:$C$501,"=11",'Plan prihoda za unos u SAP'!$K$3:$K$501,"=725")</f>
        <v>0</v>
      </c>
      <c r="F113" s="186">
        <f>SUMIFS('Plan prihoda za unos u SAP'!$I$3:$I$501,'Plan prihoda za unos u SAP'!$C$3:$C$501,"=12",'Plan prihoda za unos u SAP'!$K$3:$K$501,"=725")</f>
        <v>0</v>
      </c>
      <c r="G113" s="186">
        <f>SUMIFS('Plan prihoda za unos u SAP'!$I$3:$I$501,'Plan prihoda za unos u SAP'!$C$3:$C$501,"=31",'Plan prihoda za unos u SAP'!$K$3:$K$501,"=725")</f>
        <v>0</v>
      </c>
      <c r="H113" s="186">
        <f>SUMIFS('Plan prihoda za unos u SAP'!$I$3:$I$501,'Plan prihoda za unos u SAP'!$C$3:$C$501,"=41",'Plan prihoda za unos u SAP'!$K$3:$K$501,"=725")</f>
        <v>0</v>
      </c>
      <c r="I113" s="186">
        <f>SUMIFS('Plan prihoda za unos u SAP'!$I$3:$I$501,'Plan prihoda za unos u SAP'!$C$3:$C$501,"=43",'Plan prihoda za unos u SAP'!$K$3:$K$501,"=725")</f>
        <v>0</v>
      </c>
      <c r="J113" s="186">
        <f>SUMIFS('Plan prihoda za unos u SAP'!$I$3:$I$501,'Plan prihoda za unos u SAP'!$C$3:$C$501,"=51",'Plan prihoda za unos u SAP'!$K$3:$K$501,"=725")</f>
        <v>0</v>
      </c>
      <c r="K113" s="186">
        <f>SUMIFS('Plan prihoda za unos u SAP'!$I$3:$I$501,'Plan prihoda za unos u SAP'!$C$3:$C$501,"=52",'Plan prihoda za unos u SAP'!$K$3:$K$501,"=725")</f>
        <v>0</v>
      </c>
      <c r="L113" s="186">
        <f>SUMIFS('Plan prihoda za unos u SAP'!$I$3:$I$501,'Plan prihoda za unos u SAP'!$C$3:$C$501,"=552",'Plan prihoda za unos u SAP'!$K$3:$K$501,"=725")</f>
        <v>0</v>
      </c>
      <c r="M113" s="186">
        <f>SUMIFS('Plan prihoda za unos u SAP'!$I$3:$I$501,'Plan prihoda za unos u SAP'!$C$3:$C$501,"=559",'Plan prihoda za unos u SAP'!$K$3:$K$501,"=725")</f>
        <v>0</v>
      </c>
      <c r="N113" s="186">
        <f>SUMIFS('Plan prihoda za unos u SAP'!$I$3:$I$501,'Plan prihoda za unos u SAP'!$C$3:$C$501,"=561",'Plan prihoda za unos u SAP'!$K$3:$K$501,"=725")</f>
        <v>0</v>
      </c>
      <c r="O113" s="186">
        <f>SUMIFS('Plan prihoda za unos u SAP'!$I$3:$I$501,'Plan prihoda za unos u SAP'!$C$3:$C$501,"=563",'Plan prihoda za unos u SAP'!$K$3:$K$501,"=725")</f>
        <v>0</v>
      </c>
      <c r="P113" s="186">
        <f>SUMIFS('Plan prihoda za unos u SAP'!$I$3:$I$501,'Plan prihoda za unos u SAP'!$C$3:$C$501,"=573",'Plan prihoda za unos u SAP'!$K$3:$K$501,"=725")</f>
        <v>0</v>
      </c>
      <c r="Q113" s="186">
        <f>SUMIFS('Plan prihoda za unos u SAP'!$I$3:$I$501,'Plan prihoda za unos u SAP'!$C$3:$C$501,"=575",'Plan prihoda za unos u SAP'!$K$3:$K$501,"=725")</f>
        <v>0</v>
      </c>
      <c r="R113" s="186">
        <f>SUMIFS('Plan prihoda za unos u SAP'!$I$3:$I$501,'Plan prihoda za unos u SAP'!$C$3:$C$501,"=576",'Plan prihoda za unos u SAP'!$K$3:$K$501,"=725")</f>
        <v>0</v>
      </c>
      <c r="S113" s="186">
        <f>SUMIFS('Plan prihoda za unos u SAP'!$I$3:$I$501,'Plan prihoda za unos u SAP'!$C$3:$C$501,"=581",'Plan prihoda za unos u SAP'!$K$3:$K$501,"=725")</f>
        <v>0</v>
      </c>
      <c r="T113" s="186">
        <f>SUMIFS('Plan prihoda za unos u SAP'!$I$3:$I$501,'Plan prihoda za unos u SAP'!$C$3:$C$501,"=61",'Plan prihoda za unos u SAP'!$K$3:$K$501,"=725")</f>
        <v>0</v>
      </c>
      <c r="U113" s="186">
        <f>SUMIFS('Plan prihoda za unos u SAP'!$I$3:$I$501,'Plan prihoda za unos u SAP'!$C$3:$C$501,"=63",'Plan prihoda za unos u SAP'!$K$3:$K$501,"=725")</f>
        <v>0</v>
      </c>
      <c r="V113" s="186">
        <f>SUMIFS('Plan prihoda za unos u SAP'!$I$3:$I$501,'Plan prihoda za unos u SAP'!$C$3:$C$501,"=71",'Plan prihoda za unos u SAP'!$K$3:$K$501,"=725")</f>
        <v>0</v>
      </c>
      <c r="W113" s="186">
        <f>SUMIFS('Plan prihoda za unos u SAP'!$I$3:$I$501,'Plan prihoda za unos u SAP'!$C$3:$C$501,"=81",'Plan prihoda za unos u SAP'!$K$3:$K$501,"=725")</f>
        <v>0</v>
      </c>
    </row>
    <row r="114" spans="1:23" s="90" customFormat="1">
      <c r="A114" s="90">
        <v>2023</v>
      </c>
      <c r="B114" s="98" t="s">
        <v>307</v>
      </c>
      <c r="C114" s="99" t="s">
        <v>300</v>
      </c>
      <c r="D114" s="70">
        <f t="shared" si="22"/>
        <v>2000</v>
      </c>
      <c r="E114" s="4">
        <f t="shared" ref="E114:W114" si="29">SUM(E108:E113)</f>
        <v>0</v>
      </c>
      <c r="F114" s="4">
        <f t="shared" si="29"/>
        <v>0</v>
      </c>
      <c r="G114" s="4">
        <f t="shared" si="29"/>
        <v>0</v>
      </c>
      <c r="H114" s="4">
        <f>SUM(H108:H113)</f>
        <v>0</v>
      </c>
      <c r="I114" s="4">
        <f t="shared" si="29"/>
        <v>0</v>
      </c>
      <c r="J114" s="4">
        <f t="shared" si="29"/>
        <v>0</v>
      </c>
      <c r="K114" s="4">
        <f t="shared" si="29"/>
        <v>0</v>
      </c>
      <c r="L114" s="4">
        <f>SUM(L108:L113)</f>
        <v>0</v>
      </c>
      <c r="M114" s="4">
        <f t="shared" si="29"/>
        <v>0</v>
      </c>
      <c r="N114" s="4">
        <f t="shared" si="29"/>
        <v>0</v>
      </c>
      <c r="O114" s="4">
        <f t="shared" si="29"/>
        <v>0</v>
      </c>
      <c r="P114" s="4">
        <f>SUM(P108:P113)</f>
        <v>0</v>
      </c>
      <c r="Q114" s="4">
        <f>SUM(Q108:Q113)</f>
        <v>0</v>
      </c>
      <c r="R114" s="4">
        <f>SUM(R108:R113)</f>
        <v>0</v>
      </c>
      <c r="S114" s="4">
        <f>SUM(S108:S113)</f>
        <v>0</v>
      </c>
      <c r="T114" s="4">
        <f t="shared" si="29"/>
        <v>0</v>
      </c>
      <c r="U114" s="4">
        <f t="shared" si="29"/>
        <v>0</v>
      </c>
      <c r="V114" s="4">
        <f t="shared" si="29"/>
        <v>2000</v>
      </c>
      <c r="W114" s="4">
        <f t="shared" si="29"/>
        <v>0</v>
      </c>
    </row>
    <row r="115" spans="1:23" s="90" customFormat="1">
      <c r="A115" s="90">
        <v>2023</v>
      </c>
      <c r="B115" s="101">
        <v>818</v>
      </c>
      <c r="C115" s="102" t="s">
        <v>1381</v>
      </c>
      <c r="D115" s="70">
        <f t="shared" si="22"/>
        <v>0</v>
      </c>
      <c r="E115" s="186">
        <f>SUMIFS('Plan prihoda za unos u SAP'!$I$3:$I$501,'Plan prihoda za unos u SAP'!$C$3:$C$501,"=11",'Plan prihoda za unos u SAP'!$K$3:$K$501,"=818")</f>
        <v>0</v>
      </c>
      <c r="F115" s="186">
        <f>SUMIFS('Plan prihoda za unos u SAP'!$I$3:$I$501,'Plan prihoda za unos u SAP'!$C$3:$C$501,"=12",'Plan prihoda za unos u SAP'!$K$3:$K$501,"=818")</f>
        <v>0</v>
      </c>
      <c r="G115" s="186">
        <f>SUMIFS('Plan prihoda za unos u SAP'!$I$3:$I$501,'Plan prihoda za unos u SAP'!$C$3:$C$501,"=31",'Plan prihoda za unos u SAP'!$K$3:$K$501,"=818")</f>
        <v>0</v>
      </c>
      <c r="H115" s="186">
        <f>SUMIFS('Plan prihoda za unos u SAP'!$I$3:$I$501,'Plan prihoda za unos u SAP'!$C$3:$C$501,"=41",'Plan prihoda za unos u SAP'!$K$3:$K$501,"=818")</f>
        <v>0</v>
      </c>
      <c r="I115" s="186">
        <f>SUMIFS('Plan prihoda za unos u SAP'!$I$3:$I$501,'Plan prihoda za unos u SAP'!$C$3:$C$501,"=43",'Plan prihoda za unos u SAP'!$K$3:$K$501,"=818")</f>
        <v>0</v>
      </c>
      <c r="J115" s="186">
        <f>SUMIFS('Plan prihoda za unos u SAP'!$I$3:$I$501,'Plan prihoda za unos u SAP'!$C$3:$C$501,"=51",'Plan prihoda za unos u SAP'!$K$3:$K$501,"=818")</f>
        <v>0</v>
      </c>
      <c r="K115" s="186">
        <f>SUMIFS('Plan prihoda za unos u SAP'!$I$3:$I$501,'Plan prihoda za unos u SAP'!$C$3:$C$501,"=52",'Plan prihoda za unos u SAP'!$K$3:$K$501,"=818")</f>
        <v>0</v>
      </c>
      <c r="L115" s="186">
        <f>SUMIFS('Plan prihoda za unos u SAP'!$I$3:$I$501,'Plan prihoda za unos u SAP'!$C$3:$C$501,"=552",'Plan prihoda za unos u SAP'!$K$3:$K$501,"=818")</f>
        <v>0</v>
      </c>
      <c r="M115" s="186">
        <f>SUMIFS('Plan prihoda za unos u SAP'!$I$3:$I$501,'Plan prihoda za unos u SAP'!$C$3:$C$501,"=559",'Plan prihoda za unos u SAP'!$K$3:$K$501,"=818")</f>
        <v>0</v>
      </c>
      <c r="N115" s="186">
        <f>SUMIFS('Plan prihoda za unos u SAP'!$I$3:$I$501,'Plan prihoda za unos u SAP'!$C$3:$C$501,"=561",'Plan prihoda za unos u SAP'!$K$3:$K$501,"=818")</f>
        <v>0</v>
      </c>
      <c r="O115" s="186">
        <f>SUMIFS('Plan prihoda za unos u SAP'!$I$3:$I$501,'Plan prihoda za unos u SAP'!$C$3:$C$501,"=563",'Plan prihoda za unos u SAP'!$K$3:$K$501,"=818")</f>
        <v>0</v>
      </c>
      <c r="P115" s="186">
        <f>SUMIFS('Plan prihoda za unos u SAP'!$I$3:$I$501,'Plan prihoda za unos u SAP'!$C$3:$C$501,"=573",'Plan prihoda za unos u SAP'!$K$3:$K$501,"=818")</f>
        <v>0</v>
      </c>
      <c r="Q115" s="186">
        <f>SUMIFS('Plan prihoda za unos u SAP'!$I$3:$I$501,'Plan prihoda za unos u SAP'!$C$3:$C$501,"=575",'Plan prihoda za unos u SAP'!$K$3:$K$501,"=818")</f>
        <v>0</v>
      </c>
      <c r="R115" s="186">
        <f>SUMIFS('Plan prihoda za unos u SAP'!$I$3:$I$501,'Plan prihoda za unos u SAP'!$C$3:$C$501,"=576",'Plan prihoda za unos u SAP'!$K$3:$K$501,"=818")</f>
        <v>0</v>
      </c>
      <c r="S115" s="186">
        <f>SUMIFS('Plan prihoda za unos u SAP'!$I$3:$I$501,'Plan prihoda za unos u SAP'!$C$3:$C$501,"=581",'Plan prihoda za unos u SAP'!$K$3:$K$501,"=818")</f>
        <v>0</v>
      </c>
      <c r="T115" s="186">
        <f>SUMIFS('Plan prihoda za unos u SAP'!$I$3:$I$501,'Plan prihoda za unos u SAP'!$C$3:$C$501,"=61",'Plan prihoda za unos u SAP'!$K$3:$K$501,"=818")</f>
        <v>0</v>
      </c>
      <c r="U115" s="186">
        <f>SUMIFS('Plan prihoda za unos u SAP'!$I$3:$I$501,'Plan prihoda za unos u SAP'!$C$3:$C$501,"=63",'Plan prihoda za unos u SAP'!$K$3:$K$501,"=818")</f>
        <v>0</v>
      </c>
      <c r="V115" s="186">
        <f>SUMIFS('Plan prihoda za unos u SAP'!$I$3:$I$501,'Plan prihoda za unos u SAP'!$C$3:$C$501,"=71",'Plan prihoda za unos u SAP'!$K$3:$K$501,"=818")</f>
        <v>0</v>
      </c>
      <c r="W115" s="186">
        <f>SUMIFS('Plan prihoda za unos u SAP'!$I$3:$I$501,'Plan prihoda za unos u SAP'!$C$3:$C$501,"=81",'Plan prihoda za unos u SAP'!$K$3:$K$501,"=818")</f>
        <v>0</v>
      </c>
    </row>
    <row r="116" spans="1:23" s="90" customFormat="1">
      <c r="A116" s="90">
        <v>2023</v>
      </c>
      <c r="B116" s="101">
        <v>832</v>
      </c>
      <c r="C116" s="102" t="s">
        <v>1382</v>
      </c>
      <c r="D116" s="70">
        <f t="shared" si="22"/>
        <v>0</v>
      </c>
      <c r="E116" s="186">
        <f>SUMIFS('Plan prihoda za unos u SAP'!$I$3:$I$501,'Plan prihoda za unos u SAP'!$C$3:$C$501,"=11",'Plan prihoda za unos u SAP'!$K$3:$K$501,"=832")</f>
        <v>0</v>
      </c>
      <c r="F116" s="186">
        <f>SUMIFS('Plan prihoda za unos u SAP'!$I$3:$I$501,'Plan prihoda za unos u SAP'!$C$3:$C$501,"=12",'Plan prihoda za unos u SAP'!$K$3:$K$501,"=832")</f>
        <v>0</v>
      </c>
      <c r="G116" s="186">
        <f>SUMIFS('Plan prihoda za unos u SAP'!$I$3:$I$501,'Plan prihoda za unos u SAP'!$C$3:$C$501,"=31",'Plan prihoda za unos u SAP'!$K$3:$K$501,"=832")</f>
        <v>0</v>
      </c>
      <c r="H116" s="186">
        <f>SUMIFS('Plan prihoda za unos u SAP'!$I$3:$I$501,'Plan prihoda za unos u SAP'!$C$3:$C$501,"=41",'Plan prihoda za unos u SAP'!$K$3:$K$501,"=832")</f>
        <v>0</v>
      </c>
      <c r="I116" s="186">
        <f>SUMIFS('Plan prihoda za unos u SAP'!$I$3:$I$501,'Plan prihoda za unos u SAP'!$C$3:$C$501,"=43",'Plan prihoda za unos u SAP'!$K$3:$K$501,"=832")</f>
        <v>0</v>
      </c>
      <c r="J116" s="186">
        <f>SUMIFS('Plan prihoda za unos u SAP'!$I$3:$I$501,'Plan prihoda za unos u SAP'!$C$3:$C$501,"=51",'Plan prihoda za unos u SAP'!$K$3:$K$501,"=832")</f>
        <v>0</v>
      </c>
      <c r="K116" s="186">
        <f>SUMIFS('Plan prihoda za unos u SAP'!$I$3:$I$501,'Plan prihoda za unos u SAP'!$C$3:$C$501,"=52",'Plan prihoda za unos u SAP'!$K$3:$K$501,"=832")</f>
        <v>0</v>
      </c>
      <c r="L116" s="186">
        <f>SUMIFS('Plan prihoda za unos u SAP'!$I$3:$I$501,'Plan prihoda za unos u SAP'!$C$3:$C$501,"=552",'Plan prihoda za unos u SAP'!$K$3:$K$501,"=832")</f>
        <v>0</v>
      </c>
      <c r="M116" s="186">
        <f>SUMIFS('Plan prihoda za unos u SAP'!$I$3:$I$501,'Plan prihoda za unos u SAP'!$C$3:$C$501,"=559",'Plan prihoda za unos u SAP'!$K$3:$K$501,"=832")</f>
        <v>0</v>
      </c>
      <c r="N116" s="186">
        <f>SUMIFS('Plan prihoda za unos u SAP'!$I$3:$I$501,'Plan prihoda za unos u SAP'!$C$3:$C$501,"=561",'Plan prihoda za unos u SAP'!$K$3:$K$501,"=832")</f>
        <v>0</v>
      </c>
      <c r="O116" s="186">
        <f>SUMIFS('Plan prihoda za unos u SAP'!$I$3:$I$501,'Plan prihoda za unos u SAP'!$C$3:$C$501,"=563",'Plan prihoda za unos u SAP'!$K$3:$K$501,"=832")</f>
        <v>0</v>
      </c>
      <c r="P116" s="186">
        <f>SUMIFS('Plan prihoda za unos u SAP'!$I$3:$I$501,'Plan prihoda za unos u SAP'!$C$3:$C$501,"=573",'Plan prihoda za unos u SAP'!$K$3:$K$501,"=832")</f>
        <v>0</v>
      </c>
      <c r="Q116" s="186">
        <f>SUMIFS('Plan prihoda za unos u SAP'!$I$3:$I$501,'Plan prihoda za unos u SAP'!$C$3:$C$501,"=575",'Plan prihoda za unos u SAP'!$K$3:$K$501,"=832")</f>
        <v>0</v>
      </c>
      <c r="R116" s="186">
        <f>SUMIFS('Plan prihoda za unos u SAP'!$I$3:$I$501,'Plan prihoda za unos u SAP'!$C$3:$C$501,"=576",'Plan prihoda za unos u SAP'!$K$3:$K$501,"=832")</f>
        <v>0</v>
      </c>
      <c r="S116" s="186">
        <f>SUMIFS('Plan prihoda za unos u SAP'!$I$3:$I$501,'Plan prihoda za unos u SAP'!$C$3:$C$501,"=581",'Plan prihoda za unos u SAP'!$K$3:$K$501,"=832")</f>
        <v>0</v>
      </c>
      <c r="T116" s="186">
        <f>SUMIFS('Plan prihoda za unos u SAP'!$I$3:$I$501,'Plan prihoda za unos u SAP'!$C$3:$C$501,"=61",'Plan prihoda za unos u SAP'!$K$3:$K$501,"=832")</f>
        <v>0</v>
      </c>
      <c r="U116" s="186">
        <f>SUMIFS('Plan prihoda za unos u SAP'!$I$3:$I$501,'Plan prihoda za unos u SAP'!$C$3:$C$501,"=63",'Plan prihoda za unos u SAP'!$K$3:$K$501,"=832")</f>
        <v>0</v>
      </c>
      <c r="V116" s="186">
        <f>SUMIFS('Plan prihoda za unos u SAP'!$I$3:$I$501,'Plan prihoda za unos u SAP'!$C$3:$C$501,"=71",'Plan prihoda za unos u SAP'!$K$3:$K$501,"=832")</f>
        <v>0</v>
      </c>
      <c r="W116" s="186">
        <f>SUMIFS('Plan prihoda za unos u SAP'!$I$3:$I$501,'Plan prihoda za unos u SAP'!$C$3:$C$501,"=81",'Plan prihoda za unos u SAP'!$K$3:$K$501,"=832")</f>
        <v>0</v>
      </c>
    </row>
    <row r="117" spans="1:23" s="90" customFormat="1" ht="25.5">
      <c r="A117" s="90">
        <v>2023</v>
      </c>
      <c r="B117" s="237">
        <v>833</v>
      </c>
      <c r="C117" s="102" t="s">
        <v>1911</v>
      </c>
      <c r="D117" s="70">
        <f t="shared" si="22"/>
        <v>0</v>
      </c>
      <c r="E117" s="186">
        <f>SUMIFS('Plan prihoda za unos u SAP'!$I$3:$I$501,'Plan prihoda za unos u SAP'!$C$3:$C$501,"=11",'Plan prihoda za unos u SAP'!$K$3:$K$501,"=833")</f>
        <v>0</v>
      </c>
      <c r="F117" s="186">
        <f>SUMIFS('Plan prihoda za unos u SAP'!$I$3:$I$501,'Plan prihoda za unos u SAP'!$C$3:$C$501,"=12",'Plan prihoda za unos u SAP'!$K$3:$K$501,"=833")</f>
        <v>0</v>
      </c>
      <c r="G117" s="186">
        <f>SUMIFS('Plan prihoda za unos u SAP'!$I$3:$I$501,'Plan prihoda za unos u SAP'!$C$3:$C$501,"=31",'Plan prihoda za unos u SAP'!$K$3:$K$501,"=833")</f>
        <v>0</v>
      </c>
      <c r="H117" s="186">
        <f>SUMIFS('Plan prihoda za unos u SAP'!$I$3:$I$501,'Plan prihoda za unos u SAP'!$C$3:$C$501,"=41",'Plan prihoda za unos u SAP'!$K$3:$K$501,"=833")</f>
        <v>0</v>
      </c>
      <c r="I117" s="186">
        <f>SUMIFS('Plan prihoda za unos u SAP'!$I$3:$I$501,'Plan prihoda za unos u SAP'!$C$3:$C$501,"=43",'Plan prihoda za unos u SAP'!$K$3:$K$501,"=833")</f>
        <v>0</v>
      </c>
      <c r="J117" s="186">
        <f>SUMIFS('Plan prihoda za unos u SAP'!$I$3:$I$501,'Plan prihoda za unos u SAP'!$C$3:$C$501,"=51",'Plan prihoda za unos u SAP'!$K$3:$K$501,"=833")</f>
        <v>0</v>
      </c>
      <c r="K117" s="186">
        <f>SUMIFS('Plan prihoda za unos u SAP'!$I$3:$I$501,'Plan prihoda za unos u SAP'!$C$3:$C$501,"=52",'Plan prihoda za unos u SAP'!$K$3:$K$501,"=833")</f>
        <v>0</v>
      </c>
      <c r="L117" s="186">
        <f>SUMIFS('Plan prihoda za unos u SAP'!$I$3:$I$501,'Plan prihoda za unos u SAP'!$C$3:$C$501,"=552",'Plan prihoda za unos u SAP'!$K$3:$K$501,"=833")</f>
        <v>0</v>
      </c>
      <c r="M117" s="186">
        <f>SUMIFS('Plan prihoda za unos u SAP'!$I$3:$I$501,'Plan prihoda za unos u SAP'!$C$3:$C$501,"=559",'Plan prihoda za unos u SAP'!$K$3:$K$501,"=833")</f>
        <v>0</v>
      </c>
      <c r="N117" s="186">
        <f>SUMIFS('Plan prihoda za unos u SAP'!$I$3:$I$501,'Plan prihoda za unos u SAP'!$C$3:$C$501,"=561",'Plan prihoda za unos u SAP'!$K$3:$K$501,"=833")</f>
        <v>0</v>
      </c>
      <c r="O117" s="186">
        <f>SUMIFS('Plan prihoda za unos u SAP'!$I$3:$I$501,'Plan prihoda za unos u SAP'!$C$3:$C$501,"=563",'Plan prihoda za unos u SAP'!$K$3:$K$501,"=833")</f>
        <v>0</v>
      </c>
      <c r="P117" s="186">
        <f>SUMIFS('Plan prihoda za unos u SAP'!$I$3:$I$501,'Plan prihoda za unos u SAP'!$C$3:$C$501,"=573",'Plan prihoda za unos u SAP'!$K$3:$K$501,"=833")</f>
        <v>0</v>
      </c>
      <c r="Q117" s="186">
        <f>SUMIFS('Plan prihoda za unos u SAP'!$I$3:$I$501,'Plan prihoda za unos u SAP'!$C$3:$C$501,"=575",'Plan prihoda za unos u SAP'!$K$3:$K$501,"=833")</f>
        <v>0</v>
      </c>
      <c r="R117" s="186">
        <f>SUMIFS('Plan prihoda za unos u SAP'!$I$3:$I$501,'Plan prihoda za unos u SAP'!$C$3:$C$501,"=576",'Plan prihoda za unos u SAP'!$K$3:$K$501,"=833")</f>
        <v>0</v>
      </c>
      <c r="S117" s="186">
        <f>SUMIFS('Plan prihoda za unos u SAP'!$I$3:$I$501,'Plan prihoda za unos u SAP'!$C$3:$C$501,"=581",'Plan prihoda za unos u SAP'!$K$3:$K$501,"=833")</f>
        <v>0</v>
      </c>
      <c r="T117" s="186">
        <f>SUMIFS('Plan prihoda za unos u SAP'!$I$3:$I$501,'Plan prihoda za unos u SAP'!$C$3:$C$501,"=61",'Plan prihoda za unos u SAP'!$K$3:$K$501,"=833")</f>
        <v>0</v>
      </c>
      <c r="U117" s="186">
        <f>SUMIFS('Plan prihoda za unos u SAP'!$I$3:$I$501,'Plan prihoda za unos u SAP'!$C$3:$C$501,"=63",'Plan prihoda za unos u SAP'!$K$3:$K$501,"=833")</f>
        <v>0</v>
      </c>
      <c r="V117" s="186">
        <f>SUMIFS('Plan prihoda za unos u SAP'!$I$3:$I$501,'Plan prihoda za unos u SAP'!$C$3:$C$501,"=71",'Plan prihoda za unos u SAP'!$K$3:$K$501,"=833")</f>
        <v>0</v>
      </c>
      <c r="W117" s="186">
        <f>SUMIFS('Plan prihoda za unos u SAP'!$I$3:$I$501,'Plan prihoda za unos u SAP'!$C$3:$C$501,"=81",'Plan prihoda za unos u SAP'!$K$3:$K$501,"=833")</f>
        <v>0</v>
      </c>
    </row>
    <row r="118" spans="1:23" s="90" customFormat="1" ht="25.5">
      <c r="A118" s="90">
        <v>2023</v>
      </c>
      <c r="B118" s="101">
        <v>841</v>
      </c>
      <c r="C118" s="102" t="s">
        <v>1383</v>
      </c>
      <c r="D118" s="70">
        <f t="shared" si="22"/>
        <v>0</v>
      </c>
      <c r="E118" s="186">
        <f>SUMIFS('Plan prihoda za unos u SAP'!$I$3:$I$501,'Plan prihoda za unos u SAP'!$C$3:$C$501,"=11",'Plan prihoda za unos u SAP'!$K$3:$K$501,"=841")</f>
        <v>0</v>
      </c>
      <c r="F118" s="186">
        <f>SUMIFS('Plan prihoda za unos u SAP'!$I$3:$I$501,'Plan prihoda za unos u SAP'!$C$3:$C$501,"=12",'Plan prihoda za unos u SAP'!$K$3:$K$501,"=841")</f>
        <v>0</v>
      </c>
      <c r="G118" s="186">
        <f>SUMIFS('Plan prihoda za unos u SAP'!$I$3:$I$501,'Plan prihoda za unos u SAP'!$C$3:$C$501,"=31",'Plan prihoda za unos u SAP'!$K$3:$K$501,"=841")</f>
        <v>0</v>
      </c>
      <c r="H118" s="186">
        <f>SUMIFS('Plan prihoda za unos u SAP'!$I$3:$I$501,'Plan prihoda za unos u SAP'!$C$3:$C$501,"=41",'Plan prihoda za unos u SAP'!$K$3:$K$501,"=841")</f>
        <v>0</v>
      </c>
      <c r="I118" s="186">
        <f>SUMIFS('Plan prihoda za unos u SAP'!$I$3:$I$501,'Plan prihoda za unos u SAP'!$C$3:$C$501,"=43",'Plan prihoda za unos u SAP'!$K$3:$K$501,"=841")</f>
        <v>0</v>
      </c>
      <c r="J118" s="186">
        <f>SUMIFS('Plan prihoda za unos u SAP'!$I$3:$I$501,'Plan prihoda za unos u SAP'!$C$3:$C$501,"=51",'Plan prihoda za unos u SAP'!$K$3:$K$501,"=841")</f>
        <v>0</v>
      </c>
      <c r="K118" s="186">
        <f>SUMIFS('Plan prihoda za unos u SAP'!$I$3:$I$501,'Plan prihoda za unos u SAP'!$C$3:$C$501,"=52",'Plan prihoda za unos u SAP'!$K$3:$K$501,"=841")</f>
        <v>0</v>
      </c>
      <c r="L118" s="186">
        <f>SUMIFS('Plan prihoda za unos u SAP'!$I$3:$I$501,'Plan prihoda za unos u SAP'!$C$3:$C$501,"=552",'Plan prihoda za unos u SAP'!$K$3:$K$501,"=841")</f>
        <v>0</v>
      </c>
      <c r="M118" s="186">
        <f>SUMIFS('Plan prihoda za unos u SAP'!$I$3:$I$501,'Plan prihoda za unos u SAP'!$C$3:$C$501,"=559",'Plan prihoda za unos u SAP'!$K$3:$K$501,"=841")</f>
        <v>0</v>
      </c>
      <c r="N118" s="186">
        <f>SUMIFS('Plan prihoda za unos u SAP'!$I$3:$I$501,'Plan prihoda za unos u SAP'!$C$3:$C$501,"=561",'Plan prihoda za unos u SAP'!$K$3:$K$501,"=841")</f>
        <v>0</v>
      </c>
      <c r="O118" s="186">
        <f>SUMIFS('Plan prihoda za unos u SAP'!$I$3:$I$501,'Plan prihoda za unos u SAP'!$C$3:$C$501,"=563",'Plan prihoda za unos u SAP'!$K$3:$K$501,"=841")</f>
        <v>0</v>
      </c>
      <c r="P118" s="186">
        <f>SUMIFS('Plan prihoda za unos u SAP'!$I$3:$I$501,'Plan prihoda za unos u SAP'!$C$3:$C$501,"=573",'Plan prihoda za unos u SAP'!$K$3:$K$501,"=841")</f>
        <v>0</v>
      </c>
      <c r="Q118" s="186">
        <f>SUMIFS('Plan prihoda za unos u SAP'!$I$3:$I$501,'Plan prihoda za unos u SAP'!$C$3:$C$501,"=575",'Plan prihoda za unos u SAP'!$K$3:$K$501,"=841")</f>
        <v>0</v>
      </c>
      <c r="R118" s="186">
        <f>SUMIFS('Plan prihoda za unos u SAP'!$I$3:$I$501,'Plan prihoda za unos u SAP'!$C$3:$C$501,"=576",'Plan prihoda za unos u SAP'!$K$3:$K$501,"=841")</f>
        <v>0</v>
      </c>
      <c r="S118" s="186">
        <f>SUMIFS('Plan prihoda za unos u SAP'!$I$3:$I$501,'Plan prihoda za unos u SAP'!$C$3:$C$501,"=581",'Plan prihoda za unos u SAP'!$K$3:$K$501,"=841")</f>
        <v>0</v>
      </c>
      <c r="T118" s="186">
        <f>SUMIFS('Plan prihoda za unos u SAP'!$I$3:$I$501,'Plan prihoda za unos u SAP'!$C$3:$C$501,"=61",'Plan prihoda za unos u SAP'!$K$3:$K$501,"=841")</f>
        <v>0</v>
      </c>
      <c r="U118" s="186">
        <f>SUMIFS('Plan prihoda za unos u SAP'!$I$3:$I$501,'Plan prihoda za unos u SAP'!$C$3:$C$501,"=63",'Plan prihoda za unos u SAP'!$K$3:$K$501,"=841")</f>
        <v>0</v>
      </c>
      <c r="V118" s="186">
        <f>SUMIFS('Plan prihoda za unos u SAP'!$I$3:$I$501,'Plan prihoda za unos u SAP'!$C$3:$C$501,"=71",'Plan prihoda za unos u SAP'!$K$3:$K$501,"=841")</f>
        <v>0</v>
      </c>
      <c r="W118" s="186">
        <f>SUMIFS('Plan prihoda za unos u SAP'!$I$3:$I$501,'Plan prihoda za unos u SAP'!$C$3:$C$501,"=81",'Plan prihoda za unos u SAP'!$K$3:$K$501,"=841")</f>
        <v>0</v>
      </c>
    </row>
    <row r="119" spans="1:23" s="90" customFormat="1" ht="25.5">
      <c r="A119" s="90">
        <v>2023</v>
      </c>
      <c r="B119" s="101">
        <v>842</v>
      </c>
      <c r="C119" s="102" t="s">
        <v>317</v>
      </c>
      <c r="D119" s="70">
        <f t="shared" si="22"/>
        <v>0</v>
      </c>
      <c r="E119" s="186">
        <f>SUMIFS('Plan prihoda za unos u SAP'!$I$3:$I$501,'Plan prihoda za unos u SAP'!$C$3:$C$501,"=11",'Plan prihoda za unos u SAP'!$K$3:$K$501,"=841")</f>
        <v>0</v>
      </c>
      <c r="F119" s="186">
        <f>SUMIFS('Plan prihoda za unos u SAP'!$I$3:$I$501,'Plan prihoda za unos u SAP'!$C$3:$C$501,"=12",'Plan prihoda za unos u SAP'!$K$3:$K$501,"=841")</f>
        <v>0</v>
      </c>
      <c r="G119" s="186">
        <f>SUMIFS('Plan prihoda za unos u SAP'!$I$3:$I$501,'Plan prihoda za unos u SAP'!$C$3:$C$501,"=31",'Plan prihoda za unos u SAP'!$K$3:$K$501,"=841")</f>
        <v>0</v>
      </c>
      <c r="H119" s="186">
        <f>SUMIFS('Plan prihoda za unos u SAP'!$I$3:$I$501,'Plan prihoda za unos u SAP'!$C$3:$C$501,"=41",'Plan prihoda za unos u SAP'!$K$3:$K$501,"=841")</f>
        <v>0</v>
      </c>
      <c r="I119" s="186">
        <f>SUMIFS('Plan prihoda za unos u SAP'!$I$3:$I$501,'Plan prihoda za unos u SAP'!$C$3:$C$501,"=43",'Plan prihoda za unos u SAP'!$K$3:$K$501,"=841")</f>
        <v>0</v>
      </c>
      <c r="J119" s="186">
        <f>SUMIFS('Plan prihoda za unos u SAP'!$I$3:$I$501,'Plan prihoda za unos u SAP'!$C$3:$C$501,"=51",'Plan prihoda za unos u SAP'!$K$3:$K$501,"=841")</f>
        <v>0</v>
      </c>
      <c r="K119" s="186">
        <f>SUMIFS('Plan prihoda za unos u SAP'!$I$3:$I$501,'Plan prihoda za unos u SAP'!$C$3:$C$501,"=52",'Plan prihoda za unos u SAP'!$K$3:$K$501,"=841")</f>
        <v>0</v>
      </c>
      <c r="L119" s="186">
        <f>SUMIFS('Plan prihoda za unos u SAP'!$I$3:$I$501,'Plan prihoda za unos u SAP'!$C$3:$C$501,"=552",'Plan prihoda za unos u SAP'!$K$3:$K$501,"=841")</f>
        <v>0</v>
      </c>
      <c r="M119" s="186">
        <f>SUMIFS('Plan prihoda za unos u SAP'!$I$3:$I$501,'Plan prihoda za unos u SAP'!$C$3:$C$501,"=559",'Plan prihoda za unos u SAP'!$K$3:$K$501,"=841")</f>
        <v>0</v>
      </c>
      <c r="N119" s="186">
        <f>SUMIFS('Plan prihoda za unos u SAP'!$I$3:$I$501,'Plan prihoda za unos u SAP'!$C$3:$C$501,"=561",'Plan prihoda za unos u SAP'!$K$3:$K$501,"=841")</f>
        <v>0</v>
      </c>
      <c r="O119" s="186">
        <f>SUMIFS('Plan prihoda za unos u SAP'!$I$3:$I$501,'Plan prihoda za unos u SAP'!$C$3:$C$501,"=563",'Plan prihoda za unos u SAP'!$K$3:$K$501,"=841")</f>
        <v>0</v>
      </c>
      <c r="P119" s="186">
        <f>SUMIFS('Plan prihoda za unos u SAP'!$I$3:$I$501,'Plan prihoda za unos u SAP'!$C$3:$C$501,"=573",'Plan prihoda za unos u SAP'!$K$3:$K$501,"=841")</f>
        <v>0</v>
      </c>
      <c r="Q119" s="186">
        <f>SUMIFS('Plan prihoda za unos u SAP'!$I$3:$I$501,'Plan prihoda za unos u SAP'!$C$3:$C$501,"=575",'Plan prihoda za unos u SAP'!$K$3:$K$501,"=841")</f>
        <v>0</v>
      </c>
      <c r="R119" s="186">
        <f>SUMIFS('Plan prihoda za unos u SAP'!$I$3:$I$501,'Plan prihoda za unos u SAP'!$C$3:$C$501,"=576",'Plan prihoda za unos u SAP'!$K$3:$K$501,"=841")</f>
        <v>0</v>
      </c>
      <c r="S119" s="186">
        <f>SUMIFS('Plan prihoda za unos u SAP'!$I$3:$I$501,'Plan prihoda za unos u SAP'!$C$3:$C$501,"=581",'Plan prihoda za unos u SAP'!$K$3:$K$501,"=841")</f>
        <v>0</v>
      </c>
      <c r="T119" s="186">
        <f>SUMIFS('Plan prihoda za unos u SAP'!$I$3:$I$501,'Plan prihoda za unos u SAP'!$C$3:$C$501,"=61",'Plan prihoda za unos u SAP'!$K$3:$K$501,"=841")</f>
        <v>0</v>
      </c>
      <c r="U119" s="186">
        <f>SUMIFS('Plan prihoda za unos u SAP'!$I$3:$I$501,'Plan prihoda za unos u SAP'!$C$3:$C$501,"=63",'Plan prihoda za unos u SAP'!$K$3:$K$501,"=841")</f>
        <v>0</v>
      </c>
      <c r="V119" s="186">
        <f>SUMIFS('Plan prihoda za unos u SAP'!$I$3:$I$501,'Plan prihoda za unos u SAP'!$C$3:$C$501,"=71",'Plan prihoda za unos u SAP'!$K$3:$K$501,"=841")</f>
        <v>0</v>
      </c>
      <c r="W119" s="186">
        <f>SUMIFS('Plan prihoda za unos u SAP'!$I$3:$I$501,'Plan prihoda za unos u SAP'!$C$3:$C$501,"=81",'Plan prihoda za unos u SAP'!$K$3:$K$501,"=841")</f>
        <v>0</v>
      </c>
    </row>
    <row r="120" spans="1:23" s="90" customFormat="1">
      <c r="A120" s="90">
        <v>2023</v>
      </c>
      <c r="B120" s="98" t="s">
        <v>308</v>
      </c>
      <c r="C120" s="99" t="s">
        <v>300</v>
      </c>
      <c r="D120" s="70">
        <f t="shared" si="22"/>
        <v>0</v>
      </c>
      <c r="E120" s="4">
        <f>SUM(E115:E119)</f>
        <v>0</v>
      </c>
      <c r="F120" s="4">
        <f>SUM(F115:F119)</f>
        <v>0</v>
      </c>
      <c r="G120" s="4">
        <f t="shared" ref="G120:W120" si="30">SUM(G115:G119)</f>
        <v>0</v>
      </c>
      <c r="H120" s="4">
        <f t="shared" si="30"/>
        <v>0</v>
      </c>
      <c r="I120" s="4">
        <f t="shared" si="30"/>
        <v>0</v>
      </c>
      <c r="J120" s="4">
        <f t="shared" si="30"/>
        <v>0</v>
      </c>
      <c r="K120" s="4">
        <f t="shared" si="30"/>
        <v>0</v>
      </c>
      <c r="L120" s="4">
        <f t="shared" si="30"/>
        <v>0</v>
      </c>
      <c r="M120" s="4">
        <f t="shared" si="30"/>
        <v>0</v>
      </c>
      <c r="N120" s="4">
        <f t="shared" si="30"/>
        <v>0</v>
      </c>
      <c r="O120" s="4">
        <f t="shared" si="30"/>
        <v>0</v>
      </c>
      <c r="P120" s="4">
        <f t="shared" si="30"/>
        <v>0</v>
      </c>
      <c r="Q120" s="4">
        <f t="shared" si="30"/>
        <v>0</v>
      </c>
      <c r="R120" s="4">
        <f t="shared" si="30"/>
        <v>0</v>
      </c>
      <c r="S120" s="4">
        <f>SUM(S115:S119)</f>
        <v>0</v>
      </c>
      <c r="T120" s="4">
        <f t="shared" si="30"/>
        <v>0</v>
      </c>
      <c r="U120" s="4">
        <f t="shared" si="30"/>
        <v>0</v>
      </c>
      <c r="V120" s="4">
        <f t="shared" si="30"/>
        <v>0</v>
      </c>
      <c r="W120" s="4">
        <f t="shared" si="30"/>
        <v>0</v>
      </c>
    </row>
    <row r="121" spans="1:23" s="90" customFormat="1" ht="21" customHeight="1">
      <c r="A121" s="90">
        <v>2023</v>
      </c>
      <c r="B121" s="255" t="s">
        <v>309</v>
      </c>
      <c r="C121" s="255"/>
      <c r="D121" s="71">
        <f t="shared" si="22"/>
        <v>35409600</v>
      </c>
      <c r="E121" s="71">
        <f>+E120+E114+E107</f>
        <v>19803100</v>
      </c>
      <c r="F121" s="71">
        <f>+F120+F114+F107</f>
        <v>0</v>
      </c>
      <c r="G121" s="71">
        <f t="shared" ref="G121:W121" si="31">+G120+G114+G107</f>
        <v>718000</v>
      </c>
      <c r="H121" s="71">
        <f t="shared" si="31"/>
        <v>0</v>
      </c>
      <c r="I121" s="71">
        <f t="shared" si="31"/>
        <v>14595500</v>
      </c>
      <c r="J121" s="71">
        <f t="shared" si="31"/>
        <v>0</v>
      </c>
      <c r="K121" s="71">
        <f t="shared" si="31"/>
        <v>145500</v>
      </c>
      <c r="L121" s="71">
        <f t="shared" si="31"/>
        <v>0</v>
      </c>
      <c r="M121" s="71">
        <f t="shared" si="31"/>
        <v>0</v>
      </c>
      <c r="N121" s="71">
        <f t="shared" si="31"/>
        <v>0</v>
      </c>
      <c r="O121" s="71">
        <f t="shared" si="31"/>
        <v>0</v>
      </c>
      <c r="P121" s="71">
        <f t="shared" si="31"/>
        <v>0</v>
      </c>
      <c r="Q121" s="71">
        <f t="shared" si="31"/>
        <v>0</v>
      </c>
      <c r="R121" s="71">
        <f t="shared" si="31"/>
        <v>0</v>
      </c>
      <c r="S121" s="71">
        <f>+S120+S114+S107</f>
        <v>0</v>
      </c>
      <c r="T121" s="71">
        <f t="shared" si="31"/>
        <v>145500</v>
      </c>
      <c r="U121" s="71">
        <f t="shared" si="31"/>
        <v>0</v>
      </c>
      <c r="V121" s="71">
        <f t="shared" si="31"/>
        <v>2000</v>
      </c>
      <c r="W121" s="71">
        <f t="shared" si="31"/>
        <v>0</v>
      </c>
    </row>
    <row r="122" spans="1:23">
      <c r="B122" s="62"/>
      <c r="C122" s="62"/>
      <c r="D122" s="62"/>
      <c r="E122" s="62"/>
      <c r="F122" s="62"/>
      <c r="G122" s="62"/>
      <c r="H122" s="62"/>
      <c r="I122" s="103"/>
      <c r="J122" s="104"/>
      <c r="K122" s="104"/>
      <c r="L122" s="104"/>
      <c r="M122" s="104"/>
      <c r="N122" s="104"/>
      <c r="O122" s="104"/>
      <c r="P122" s="104"/>
      <c r="Q122" s="104"/>
      <c r="R122" s="104"/>
      <c r="S122" s="91"/>
      <c r="W122" s="91"/>
    </row>
    <row r="123" spans="1:23">
      <c r="G123" s="5"/>
      <c r="H123" s="5"/>
      <c r="I123" s="63"/>
      <c r="J123" s="105"/>
      <c r="K123" s="105"/>
      <c r="L123" s="105"/>
      <c r="M123" s="105"/>
      <c r="N123" s="105"/>
      <c r="O123" s="105"/>
      <c r="P123" s="105"/>
      <c r="Q123" s="105"/>
      <c r="R123" s="105"/>
    </row>
    <row r="124" spans="1:23">
      <c r="G124" s="5"/>
      <c r="H124" s="5"/>
      <c r="I124" s="106"/>
      <c r="J124" s="107"/>
      <c r="K124" s="107"/>
      <c r="L124" s="107"/>
      <c r="M124" s="107"/>
      <c r="N124" s="107"/>
      <c r="O124" s="107"/>
      <c r="P124" s="107"/>
      <c r="Q124" s="107"/>
      <c r="R124" s="107"/>
    </row>
    <row r="125" spans="1:23">
      <c r="B125" s="5"/>
      <c r="C125" s="5"/>
      <c r="D125" s="5"/>
      <c r="E125" s="5"/>
      <c r="F125" s="5"/>
      <c r="G125" s="5"/>
      <c r="H125" s="5"/>
      <c r="I125" s="64"/>
      <c r="J125" s="5"/>
      <c r="K125" s="5"/>
      <c r="L125" s="5"/>
      <c r="M125" s="5"/>
      <c r="N125" s="5"/>
      <c r="O125" s="5"/>
      <c r="P125" s="5"/>
      <c r="Q125" s="5"/>
      <c r="R125" s="5"/>
    </row>
    <row r="126" spans="1:23">
      <c r="B126" s="5"/>
      <c r="C126" s="5"/>
      <c r="D126" s="5"/>
      <c r="E126" s="5"/>
      <c r="F126" s="5"/>
      <c r="G126" s="5"/>
      <c r="H126" s="5"/>
      <c r="I126" s="64"/>
      <c r="J126" s="5"/>
      <c r="K126" s="5"/>
      <c r="L126" s="5"/>
      <c r="M126" s="5"/>
      <c r="N126" s="5"/>
      <c r="O126" s="5"/>
      <c r="P126" s="5"/>
      <c r="Q126" s="5"/>
      <c r="R126" s="5"/>
    </row>
    <row r="127" spans="1:23">
      <c r="B127" s="5"/>
      <c r="C127" s="5"/>
      <c r="D127" s="5"/>
      <c r="E127" s="5"/>
      <c r="F127" s="5"/>
      <c r="G127" s="5"/>
      <c r="H127" s="5"/>
      <c r="I127" s="64"/>
      <c r="J127" s="5"/>
      <c r="K127" s="5"/>
      <c r="L127" s="5"/>
      <c r="M127" s="5"/>
      <c r="N127" s="5"/>
      <c r="O127" s="5"/>
      <c r="P127" s="5"/>
      <c r="Q127" s="5"/>
      <c r="R127" s="5"/>
    </row>
    <row r="128" spans="1:23">
      <c r="B128" s="5"/>
      <c r="C128" s="5"/>
      <c r="D128" s="5"/>
      <c r="E128" s="5"/>
      <c r="F128" s="5"/>
      <c r="G128" s="5"/>
      <c r="H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66"/>
      <c r="K130" s="66"/>
      <c r="L130" s="66"/>
      <c r="M130" s="66"/>
      <c r="N130" s="66"/>
      <c r="O130" s="66"/>
      <c r="P130" s="66"/>
      <c r="Q130" s="66"/>
      <c r="R130" s="66"/>
    </row>
    <row r="131" spans="2:18">
      <c r="B131" s="5"/>
      <c r="C131" s="5"/>
      <c r="D131" s="5"/>
      <c r="E131" s="5"/>
      <c r="F131" s="5"/>
      <c r="G131" s="5"/>
      <c r="H131" s="5"/>
      <c r="I131" s="64"/>
      <c r="J131" s="5"/>
      <c r="K131" s="5"/>
      <c r="L131" s="5"/>
      <c r="M131" s="5"/>
      <c r="N131" s="5"/>
      <c r="O131" s="5"/>
      <c r="P131" s="5"/>
      <c r="Q131" s="5"/>
      <c r="R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108"/>
      <c r="K132" s="108"/>
      <c r="L132" s="108"/>
      <c r="M132" s="108"/>
      <c r="N132" s="108"/>
      <c r="O132" s="108"/>
      <c r="P132" s="108"/>
      <c r="Q132" s="108"/>
      <c r="R132" s="108"/>
    </row>
    <row r="133" spans="2:18">
      <c r="I133" s="106"/>
      <c r="J133" s="109"/>
      <c r="K133" s="109"/>
      <c r="L133" s="109"/>
      <c r="M133" s="109"/>
      <c r="N133" s="109"/>
      <c r="O133" s="109"/>
      <c r="P133" s="109"/>
      <c r="Q133" s="109"/>
      <c r="R133" s="109"/>
    </row>
  </sheetData>
  <sheetProtection algorithmName="SHA-512" hashValue="c4QwrWURjw4mPYEIdquettsIyDzaX3dg2lScowW+9EnwO7JGZB27LJT8+4eLBEVslrTO1f3WsUSF73QTeY0L2w==" saltValue="2kWGO2oMgyKeDJCyMWMarg==" spinCount="100000" sheet="1" selectLockedCells="1"/>
  <mergeCells count="7">
    <mergeCell ref="B1:V1"/>
    <mergeCell ref="B83:C83"/>
    <mergeCell ref="B43:C43"/>
    <mergeCell ref="D43:U43"/>
    <mergeCell ref="D83:U83"/>
    <mergeCell ref="B3:C3"/>
    <mergeCell ref="D3:U3"/>
  </mergeCells>
  <phoneticPr fontId="39" type="noConversion"/>
  <dataValidations count="2"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500000000</formula2>
    </dataValidation>
    <dataValidation type="whole" allowBlank="1" showInputMessage="1" showErrorMessage="1" error="Dozvoljen je unos samo negativnih vrijednosti (cijeli broj)" sqref="E7:W7 E47:W47 E87:W87">
      <formula1>-10000000000</formula1>
      <formula2>0</formula2>
    </dataValidation>
  </dataValidations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41" max="16383" man="1"/>
    <brk id="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C3684"/>
  <sheetViews>
    <sheetView showGridLines="0" tabSelected="1" zoomScale="142" zoomScaleNormal="142" zoomScaleSheetLayoutView="80" workbookViewId="0">
      <pane xSplit="4" ySplit="3" topLeftCell="E69" activePane="bottomRight" state="frozen"/>
      <selection pane="topRight" activeCell="D1" sqref="D1"/>
      <selection pane="bottomLeft" activeCell="A4" sqref="A4"/>
      <selection pane="bottomRight" activeCell="S3" sqref="S3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1" width="13.140625" style="25" customWidth="1"/>
    <col min="22" max="22" width="14.7109375" style="25" customWidth="1"/>
    <col min="23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283" t="s">
        <v>3492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</row>
    <row r="2" spans="1:263" s="74" customFormat="1" ht="63.75">
      <c r="A2" s="93" t="s">
        <v>1913</v>
      </c>
      <c r="B2" s="93" t="s">
        <v>199</v>
      </c>
      <c r="C2" s="93" t="s">
        <v>200</v>
      </c>
      <c r="D2" s="2" t="s">
        <v>3494</v>
      </c>
      <c r="E2" s="2" t="s">
        <v>40</v>
      </c>
      <c r="F2" s="2" t="s">
        <v>318</v>
      </c>
      <c r="G2" s="93" t="s">
        <v>19</v>
      </c>
      <c r="H2" s="93" t="s">
        <v>1374</v>
      </c>
      <c r="I2" s="93" t="s">
        <v>20</v>
      </c>
      <c r="J2" s="93" t="s">
        <v>267</v>
      </c>
      <c r="K2" s="93" t="s">
        <v>268</v>
      </c>
      <c r="L2" s="93" t="s">
        <v>1375</v>
      </c>
      <c r="M2" s="93" t="s">
        <v>269</v>
      </c>
      <c r="N2" s="93" t="s">
        <v>270</v>
      </c>
      <c r="O2" s="93" t="s">
        <v>271</v>
      </c>
      <c r="P2" s="93" t="s">
        <v>1376</v>
      </c>
      <c r="Q2" s="93" t="s">
        <v>1377</v>
      </c>
      <c r="R2" s="93" t="s">
        <v>1909</v>
      </c>
      <c r="S2" s="93" t="s">
        <v>3493</v>
      </c>
      <c r="T2" s="93" t="s">
        <v>272</v>
      </c>
      <c r="U2" s="93" t="s">
        <v>273</v>
      </c>
      <c r="V2" s="93" t="s">
        <v>1351</v>
      </c>
      <c r="W2" s="93" t="s">
        <v>1350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349</v>
      </c>
      <c r="D3" s="120">
        <f t="shared" ref="D3:D34" si="0">SUM(E3:W3)</f>
        <v>32169503</v>
      </c>
      <c r="E3" s="121">
        <f t="shared" ref="E3:W3" si="1">E4+E38+E58</f>
        <v>19705590</v>
      </c>
      <c r="F3" s="121">
        <f t="shared" si="1"/>
        <v>0</v>
      </c>
      <c r="G3" s="121">
        <f t="shared" si="1"/>
        <v>708000</v>
      </c>
      <c r="H3" s="121">
        <f>H4+H38+H58</f>
        <v>0</v>
      </c>
      <c r="I3" s="121">
        <f t="shared" si="1"/>
        <v>11010010</v>
      </c>
      <c r="J3" s="121">
        <f t="shared" si="1"/>
        <v>46920</v>
      </c>
      <c r="K3" s="121">
        <f t="shared" si="1"/>
        <v>493950</v>
      </c>
      <c r="L3" s="121">
        <f>L4+L38+L58</f>
        <v>0</v>
      </c>
      <c r="M3" s="121">
        <f t="shared" si="1"/>
        <v>0</v>
      </c>
      <c r="N3" s="121">
        <f t="shared" si="1"/>
        <v>0</v>
      </c>
      <c r="O3" s="121">
        <f t="shared" si="1"/>
        <v>0</v>
      </c>
      <c r="P3" s="121">
        <f>P4+P38+P58</f>
        <v>0</v>
      </c>
      <c r="Q3" s="121">
        <f>Q4+Q38+Q58</f>
        <v>0</v>
      </c>
      <c r="R3" s="121">
        <f>R4+R38+R58</f>
        <v>0</v>
      </c>
      <c r="S3" s="121">
        <f>S4+S38+S58</f>
        <v>0</v>
      </c>
      <c r="T3" s="121">
        <f t="shared" si="1"/>
        <v>205033</v>
      </c>
      <c r="U3" s="121">
        <f t="shared" si="1"/>
        <v>0</v>
      </c>
      <c r="V3" s="121">
        <f t="shared" si="1"/>
        <v>0</v>
      </c>
      <c r="W3" s="121">
        <f t="shared" si="1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201</v>
      </c>
      <c r="D4" s="124">
        <f t="shared" si="0"/>
        <v>30771003</v>
      </c>
      <c r="E4" s="125">
        <f>E5+E9+E15+E19+E23+E30+E33</f>
        <v>19537590</v>
      </c>
      <c r="F4" s="125">
        <f t="shared" ref="F4:W4" si="2">F5+F9+F15+F19+F23+F30+F33</f>
        <v>0</v>
      </c>
      <c r="G4" s="125">
        <f t="shared" si="2"/>
        <v>629000</v>
      </c>
      <c r="H4" s="125">
        <f>H5+H9+H15+H19+H23+H30+H33</f>
        <v>0</v>
      </c>
      <c r="I4" s="125">
        <f t="shared" si="2"/>
        <v>9929099</v>
      </c>
      <c r="J4" s="125">
        <f t="shared" si="2"/>
        <v>46920</v>
      </c>
      <c r="K4" s="125">
        <f t="shared" si="2"/>
        <v>423361</v>
      </c>
      <c r="L4" s="125">
        <f>L5+L9+L15+L19+L23+L30+L33</f>
        <v>0</v>
      </c>
      <c r="M4" s="125">
        <f t="shared" si="2"/>
        <v>0</v>
      </c>
      <c r="N4" s="125">
        <f t="shared" si="2"/>
        <v>0</v>
      </c>
      <c r="O4" s="125">
        <f t="shared" si="2"/>
        <v>0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>S5+S9+S15+S19+S23+S30+S33</f>
        <v>0</v>
      </c>
      <c r="T4" s="125">
        <f t="shared" si="2"/>
        <v>205033</v>
      </c>
      <c r="U4" s="125">
        <f t="shared" si="2"/>
        <v>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202</v>
      </c>
      <c r="D5" s="78">
        <f t="shared" si="0"/>
        <v>25635697</v>
      </c>
      <c r="E5" s="12">
        <f>SUM(E6:E8)</f>
        <v>18384276</v>
      </c>
      <c r="F5" s="12">
        <f t="shared" ref="F5:W5" si="3">SUM(F6:F8)</f>
        <v>0</v>
      </c>
      <c r="G5" s="12">
        <f t="shared" si="3"/>
        <v>279000</v>
      </c>
      <c r="H5" s="12">
        <f>SUM(H6:H8)</f>
        <v>0</v>
      </c>
      <c r="I5" s="12">
        <f t="shared" si="3"/>
        <v>6734829</v>
      </c>
      <c r="J5" s="12">
        <f t="shared" si="3"/>
        <v>0</v>
      </c>
      <c r="K5" s="12">
        <f t="shared" si="3"/>
        <v>87559</v>
      </c>
      <c r="L5" s="12">
        <f>SUM(L6:L8)</f>
        <v>0</v>
      </c>
      <c r="M5" s="12">
        <f t="shared" si="3"/>
        <v>0</v>
      </c>
      <c r="N5" s="12">
        <f t="shared" si="3"/>
        <v>0</v>
      </c>
      <c r="O5" s="12">
        <f t="shared" si="3"/>
        <v>0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>SUM(S6:S8)</f>
        <v>0</v>
      </c>
      <c r="T5" s="12">
        <f t="shared" si="3"/>
        <v>150033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228</v>
      </c>
      <c r="D6" s="77">
        <f t="shared" si="0"/>
        <v>21173055</v>
      </c>
      <c r="E6" s="138">
        <f>SUMIFS('Plan rashoda za unos u SAP'!$I$3:$I$501,'Plan rashoda za unos u SAP'!$C$3:$C$501,"=11",'Plan rashoda za unos u SAP'!$M$3:$M$501,"=311")+SUMIFS('ANALITIKA EU PROJEKATA'!$G$3:$G$501,'ANALITIKA EU PROJEKATA'!$A$3:$A$501,"=11",'ANALITIKA EU PROJEKATA'!$P$3:$P$501,"=311")</f>
        <v>15545880</v>
      </c>
      <c r="F6" s="138">
        <f>SUMIFS('Plan rashoda za unos u SAP'!$I$3:$I$501,'Plan rashoda za unos u SAP'!$C$3:$C$501,"=12",'Plan rashoda za unos u SAP'!$M$3:$M$501,"=311")+SUMIFS('ANALITIKA EU PROJEKATA'!$G$3:$G$501,'ANALITIKA EU PROJEKATA'!$A$3:$A$501,"=12",'ANALITIKA EU PROJEKATA'!$P$3:$P$501,"=311")</f>
        <v>0</v>
      </c>
      <c r="G6" s="138">
        <f>SUMIFS('Plan rashoda za unos u SAP'!$I$3:$I$501,'Plan rashoda za unos u SAP'!$C$3:$C$501,"=31",'Plan rashoda za unos u SAP'!$M$3:$M$501,"=311")+SUMIFS('ANALITIKA EU PROJEKATA'!$G$3:$G$501,'ANALITIKA EU PROJEKATA'!$A$3:$A$501,"=31",'ANALITIKA EU PROJEKATA'!$P$3:$P$501,"=311")</f>
        <v>237000</v>
      </c>
      <c r="H6" s="138">
        <f>SUMIFS('Plan rashoda za unos u SAP'!$I$3:$I$501,'Plan rashoda za unos u SAP'!$C$3:$C$501,"=41",'Plan rashoda za unos u SAP'!$M$3:$M$501,"=311")+SUMIFS('ANALITIKA EU PROJEKATA'!$G$3:$G$501,'ANALITIKA EU PROJEKATA'!$A$3:$A$501,"=41",'ANALITIKA EU PROJEKATA'!$P$3:$P$501,"=311")</f>
        <v>0</v>
      </c>
      <c r="I6" s="138">
        <f>SUMIFS('Plan rashoda za unos u SAP'!$I$3:$I$501,'Plan rashoda za unos u SAP'!$C$3:$C$501,"=43",'Plan rashoda za unos u SAP'!$M$3:$M$501,"=311")+SUMIFS('ANALITIKA EU PROJEKATA'!$G$3:$G$501,'ANALITIKA EU PROJEKATA'!$A$3:$A$501,"=43",'ANALITIKA EU PROJEKATA'!$P$3:$P$501,"=311")</f>
        <v>5194850</v>
      </c>
      <c r="J6" s="138">
        <f>SUMIFS('Plan rashoda za unos u SAP'!$I$3:$I$501,'Plan rashoda za unos u SAP'!$C$3:$C$501,"=51",'Plan rashoda za unos u SAP'!$M$3:$M$501,"=311")+SUMIFS('ANALITIKA EU PROJEKATA'!$G$3:$G$501,'ANALITIKA EU PROJEKATA'!$A$3:$A$501,"=51",'ANALITIKA EU PROJEKATA'!$P$3:$P$501,"=311")</f>
        <v>0</v>
      </c>
      <c r="K6" s="138">
        <f>SUMIFS('Plan rashoda za unos u SAP'!$I$3:$I$501,'Plan rashoda za unos u SAP'!$C$3:$C$501,"=52",'Plan rashoda za unos u SAP'!$M$3:$M$501,"=311")+SUMIFS('ANALITIKA EU PROJEKATA'!$G$3:$G$501,'ANALITIKA EU PROJEKATA'!$A$3:$A$501,"=52",'ANALITIKA EU PROJEKATA'!$P$3:$P$501,"=311")</f>
        <v>75075</v>
      </c>
      <c r="L6" s="138">
        <f>SUMIFS('Plan rashoda za unos u SAP'!$I$3:$I$501,'Plan rashoda za unos u SAP'!$C$3:$C$501,"=552",'Plan rashoda za unos u SAP'!$M$3:$M$501,"=311")+SUMIFS('ANALITIKA EU PROJEKATA'!$G$3:$G$501,'ANALITIKA EU PROJEKATA'!$A$3:$A$501,"=552",'ANALITIKA EU PROJEKATA'!$P$3:$P$501,"=311")</f>
        <v>0</v>
      </c>
      <c r="M6" s="138">
        <f>SUMIFS('Plan rashoda za unos u SAP'!$I$3:$I$501,'Plan rashoda za unos u SAP'!$C$3:$C$501,"=559",'Plan rashoda za unos u SAP'!$M$3:$M$501,"=311")+SUMIFS('ANALITIKA EU PROJEKATA'!$G$3:$G$501,'ANALITIKA EU PROJEKATA'!$A$3:$A$501,"=559",'ANALITIKA EU PROJEKATA'!$P$3:$P$501,"=311")</f>
        <v>0</v>
      </c>
      <c r="N6" s="138">
        <f>SUMIFS('Plan rashoda za unos u SAP'!$I$3:$I$501,'Plan rashoda za unos u SAP'!$C$3:$C$501,"=561",'Plan rashoda za unos u SAP'!$M$3:$M$501,"=311")+SUMIFS('ANALITIKA EU PROJEKATA'!$G$3:$G$501,'ANALITIKA EU PROJEKATA'!$A$3:$A$501,"=561",'ANALITIKA EU PROJEKATA'!$P$3:$P$501,"=311")</f>
        <v>0</v>
      </c>
      <c r="O6" s="138">
        <f>SUMIFS('Plan rashoda za unos u SAP'!$I$3:$I$501,'Plan rashoda za unos u SAP'!$C$3:$C$501,"=563",'Plan rashoda za unos u SAP'!$M$3:$M$501,"=311")+SUMIFS('ANALITIKA EU PROJEKATA'!$G$3:$G$501,'ANALITIKA EU PROJEKATA'!$A$3:$A$501,"=563",'ANALITIKA EU PROJEKATA'!$P$3:$P$501,"=311")</f>
        <v>0</v>
      </c>
      <c r="P6" s="138">
        <f>SUMIFS('Plan rashoda za unos u SAP'!$I$3:$I$501,'Plan rashoda za unos u SAP'!$C$3:$C$501,"=573",'Plan rashoda za unos u SAP'!$M$3:$M$501,"=311")+SUMIFS('ANALITIKA EU PROJEKATA'!$G$3:$G$501,'ANALITIKA EU PROJEKATA'!$A$3:$A$501,"=573",'ANALITIKA EU PROJEKATA'!$P$3:$P$501,"=311")</f>
        <v>0</v>
      </c>
      <c r="Q6" s="138">
        <f>SUMIFS('Plan rashoda za unos u SAP'!$I$3:$I$501,'Plan rashoda za unos u SAP'!$C$3:$C$501,"=575",'Plan rashoda za unos u SAP'!$M$3:$M$501,"=311")+SUMIFS('ANALITIKA EU PROJEKATA'!$G$3:$G$501,'ANALITIKA EU PROJEKATA'!$A$3:$A$501,"=575",'ANALITIKA EU PROJEKATA'!$P$3:$P$501,"=311")</f>
        <v>0</v>
      </c>
      <c r="R6" s="138">
        <f>SUMIFS('Plan rashoda za unos u SAP'!$I$3:$I$501,'Plan rashoda za unos u SAP'!$C$3:$C$501,"=576",'Plan rashoda za unos u SAP'!$M$3:$M$501,"=311")+SUMIFS('ANALITIKA EU PROJEKATA'!$G$3:$G$501,'ANALITIKA EU PROJEKATA'!$A$3:$A$501,"=576",'ANALITIKA EU PROJEKATA'!$P$3:$P$501,"=311")</f>
        <v>0</v>
      </c>
      <c r="S6" s="138">
        <f>SUMIFS('Plan rashoda za unos u SAP'!$I$3:$I$501,'Plan rashoda za unos u SAP'!$C$3:$C$501,"=581",'Plan rashoda za unos u SAP'!$M$3:$M$501,"=311")+SUMIFS('ANALITIKA EU PROJEKATA'!$G$3:$G$501,'ANALITIKA EU PROJEKATA'!$A$3:$A$501,"=581",'ANALITIKA EU PROJEKATA'!$P$3:$P$501,"=311")</f>
        <v>0</v>
      </c>
      <c r="T6" s="138">
        <f>SUMIFS('Plan rashoda za unos u SAP'!$I$3:$I$501,'Plan rashoda za unos u SAP'!$C$3:$C$501,"=61",'Plan rashoda za unos u SAP'!$M$3:$M$501,"=311")+SUMIFS('ANALITIKA EU PROJEKATA'!$G$3:$G$501,'ANALITIKA EU PROJEKATA'!$A$3:$A$501,"=61",'ANALITIKA EU PROJEKATA'!$P$3:$P$501,"=311")</f>
        <v>120250</v>
      </c>
      <c r="U6" s="138">
        <f>SUMIFS('Plan rashoda za unos u SAP'!$I$3:$I$501,'Plan rashoda za unos u SAP'!$C$3:$C$501,"=63",'Plan rashoda za unos u SAP'!$M$3:$M$501,"=311")+SUMIFS('ANALITIKA EU PROJEKATA'!$G$3:$G$501,'ANALITIKA EU PROJEKATA'!$A$3:$A$501,"=63",'ANALITIKA EU PROJEKATA'!$P$3:$P$501,"=311")</f>
        <v>0</v>
      </c>
      <c r="V6" s="138">
        <f>SUMIFS('Plan rashoda za unos u SAP'!$I$3:$I$501,'Plan rashoda za unos u SAP'!$C$3:$C$501,"=71",'Plan rashoda za unos u SAP'!$M$3:$M$501,"=311")+SUMIFS('ANALITIKA EU PROJEKATA'!$G$3:$G$501,'ANALITIKA EU PROJEKATA'!$A$3:$A$501,"=71",'ANALITIKA EU PROJEKATA'!$P$3:$P$501,"=311")</f>
        <v>0</v>
      </c>
      <c r="W6" s="138">
        <f>SUMIFS('Plan rashoda za unos u SAP'!$I$3:$I$501,'Plan rashoda za unos u SAP'!$C$3:$C$501,"=81",'Plan rashoda za unos u SAP'!$M$3:$M$501,"=311")+SUMIFS('ANALITIKA EU PROJEKATA'!$G$3:$G$501,'ANALITIKA EU PROJEKATA'!$A$3:$A$501,"=81",'ANALITIKA EU PROJEKATA'!$P$3:$P$501,"=311")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54</v>
      </c>
      <c r="D7" s="14">
        <f t="shared" si="0"/>
        <v>962729</v>
      </c>
      <c r="E7" s="138">
        <f>SUMIFS('Plan rashoda za unos u SAP'!$I$3:$I$501,'Plan rashoda za unos u SAP'!$C$3:$C$501,"=11",'Plan rashoda za unos u SAP'!$M$3:$M$501,"=312")+SUMIFS('ANALITIKA EU PROJEKATA'!$G$3:$G$501,'ANALITIKA EU PROJEKATA'!$A$3:$A$501,"=11",'ANALITIKA EU PROJEKATA'!$P$3:$P$501,"=312")</f>
        <v>294096</v>
      </c>
      <c r="F7" s="138">
        <f>SUMIFS('Plan rashoda za unos u SAP'!$I$3:$I$501,'Plan rashoda za unos u SAP'!$C$3:$C$501,"=12",'Plan rashoda za unos u SAP'!$M$3:$M$501,"=312")+SUMIFS('ANALITIKA EU PROJEKATA'!$G$3:$G$501,'ANALITIKA EU PROJEKATA'!$A$3:$A$501,"=12",'ANALITIKA EU PROJEKATA'!$P$3:$P$501,"=312")</f>
        <v>0</v>
      </c>
      <c r="G7" s="138">
        <f>SUMIFS('Plan rashoda za unos u SAP'!$I$3:$I$501,'Plan rashoda za unos u SAP'!$C$3:$C$501,"=31",'Plan rashoda za unos u SAP'!$M$3:$M$501,"=312")+SUMIFS('ANALITIKA EU PROJEKATA'!$G$3:$G$501,'ANALITIKA EU PROJEKATA'!$A$3:$A$501,"=31",'ANALITIKA EU PROJEKATA'!$P$3:$P$501,"=312")</f>
        <v>0</v>
      </c>
      <c r="H7" s="138">
        <f>SUMIFS('Plan rashoda za unos u SAP'!$I$3:$I$501,'Plan rashoda za unos u SAP'!$C$3:$C$501,"=41",'Plan rashoda za unos u SAP'!$M$3:$M$501,"=312")+SUMIFS('ANALITIKA EU PROJEKATA'!$G$3:$G$501,'ANALITIKA EU PROJEKATA'!$A$3:$A$501,"=41",'ANALITIKA EU PROJEKATA'!$P$3:$P$501,"=312")</f>
        <v>0</v>
      </c>
      <c r="I7" s="138">
        <f>SUMIFS('Plan rashoda za unos u SAP'!$I$3:$I$501,'Plan rashoda za unos u SAP'!$C$3:$C$501,"=43",'Plan rashoda za unos u SAP'!$M$3:$M$501,"=312")+SUMIFS('ANALITIKA EU PROJEKATA'!$G$3:$G$501,'ANALITIKA EU PROJEKATA'!$A$3:$A$501,"=43",'ANALITIKA EU PROJEKATA'!$P$3:$P$501,"=312")</f>
        <v>664133</v>
      </c>
      <c r="J7" s="138">
        <f>SUMIFS('Plan rashoda za unos u SAP'!$I$3:$I$501,'Plan rashoda za unos u SAP'!$C$3:$C$501,"=51",'Plan rashoda za unos u SAP'!$M$3:$M$501,"=312")+SUMIFS('ANALITIKA EU PROJEKATA'!$G$3:$G$501,'ANALITIKA EU PROJEKATA'!$A$3:$A$501,"=51",'ANALITIKA EU PROJEKATA'!$P$3:$P$501,"=312")</f>
        <v>0</v>
      </c>
      <c r="K7" s="138">
        <f>SUMIFS('Plan rashoda za unos u SAP'!$I$3:$I$501,'Plan rashoda za unos u SAP'!$C$3:$C$501,"=52",'Plan rashoda za unos u SAP'!$M$3:$M$501,"=312")+SUMIFS('ANALITIKA EU PROJEKATA'!$G$3:$G$501,'ANALITIKA EU PROJEKATA'!$A$3:$A$501,"=52",'ANALITIKA EU PROJEKATA'!$P$3:$P$501,"=312")</f>
        <v>0</v>
      </c>
      <c r="L7" s="138">
        <f>SUMIFS('Plan rashoda za unos u SAP'!$I$3:$I$501,'Plan rashoda za unos u SAP'!$C$3:$C$501,"=552",'Plan rashoda za unos u SAP'!$M$3:$M$501,"=312")+SUMIFS('ANALITIKA EU PROJEKATA'!$G$3:$G$501,'ANALITIKA EU PROJEKATA'!$A$3:$A$501,"=552",'ANALITIKA EU PROJEKATA'!$P$3:$P$501,"=312")</f>
        <v>0</v>
      </c>
      <c r="M7" s="138">
        <f>SUMIFS('Plan rashoda za unos u SAP'!$I$3:$I$501,'Plan rashoda za unos u SAP'!$C$3:$C$501,"=559",'Plan rashoda za unos u SAP'!$M$3:$M$501,"=312")+SUMIFS('ANALITIKA EU PROJEKATA'!$G$3:$G$501,'ANALITIKA EU PROJEKATA'!$A$3:$A$501,"=559",'ANALITIKA EU PROJEKATA'!$P$3:$P$501,"=312")</f>
        <v>0</v>
      </c>
      <c r="N7" s="138">
        <f>SUMIFS('Plan rashoda za unos u SAP'!$I$3:$I$501,'Plan rashoda za unos u SAP'!$C$3:$C$501,"=561",'Plan rashoda za unos u SAP'!$M$3:$M$501,"=312")+SUMIFS('ANALITIKA EU PROJEKATA'!$G$3:$G$501,'ANALITIKA EU PROJEKATA'!$A$3:$A$501,"=561",'ANALITIKA EU PROJEKATA'!$P$3:$P$501,"=312")</f>
        <v>0</v>
      </c>
      <c r="O7" s="138">
        <f>SUMIFS('Plan rashoda za unos u SAP'!$I$3:$I$501,'Plan rashoda za unos u SAP'!$C$3:$C$501,"=563",'Plan rashoda za unos u SAP'!$M$3:$M$501,"=312")+SUMIFS('ANALITIKA EU PROJEKATA'!$G$3:$G$501,'ANALITIKA EU PROJEKATA'!$A$3:$A$501,"=563",'ANALITIKA EU PROJEKATA'!$P$3:$P$501,"=312")</f>
        <v>0</v>
      </c>
      <c r="P7" s="138">
        <f>SUMIFS('Plan rashoda za unos u SAP'!$I$3:$I$501,'Plan rashoda za unos u SAP'!$C$3:$C$501,"=573",'Plan rashoda za unos u SAP'!$M$3:$M$501,"=312")+SUMIFS('ANALITIKA EU PROJEKATA'!$G$3:$G$501,'ANALITIKA EU PROJEKATA'!$A$3:$A$501,"=573",'ANALITIKA EU PROJEKATA'!$P$3:$P$501,"=312")</f>
        <v>0</v>
      </c>
      <c r="Q7" s="138">
        <f>SUMIFS('Plan rashoda za unos u SAP'!$I$3:$I$501,'Plan rashoda za unos u SAP'!$C$3:$C$501,"=575",'Plan rashoda za unos u SAP'!$M$3:$M$501,"=312")+SUMIFS('ANALITIKA EU PROJEKATA'!$G$3:$G$501,'ANALITIKA EU PROJEKATA'!$A$3:$A$501,"=575",'ANALITIKA EU PROJEKATA'!$P$3:$P$501,"=312")</f>
        <v>0</v>
      </c>
      <c r="R7" s="138">
        <f>SUMIFS('Plan rashoda za unos u SAP'!$I$3:$I$501,'Plan rashoda za unos u SAP'!$C$3:$C$501,"=576",'Plan rashoda za unos u SAP'!$M$3:$M$501,"=312")+SUMIFS('ANALITIKA EU PROJEKATA'!$G$3:$G$501,'ANALITIKA EU PROJEKATA'!$A$3:$A$501,"=576",'ANALITIKA EU PROJEKATA'!$P$3:$P$501,"=312")</f>
        <v>0</v>
      </c>
      <c r="S7" s="138">
        <f>SUMIFS('Plan rashoda za unos u SAP'!$I$3:$I$501,'Plan rashoda za unos u SAP'!$C$3:$C$501,"=581",'Plan rashoda za unos u SAP'!$M$3:$M$501,"=312")+SUMIFS('ANALITIKA EU PROJEKATA'!$G$3:$G$501,'ANALITIKA EU PROJEKATA'!$A$3:$A$501,"=581",'ANALITIKA EU PROJEKATA'!$P$3:$P$501,"=312")</f>
        <v>0</v>
      </c>
      <c r="T7" s="138">
        <f>SUMIFS('Plan rashoda za unos u SAP'!$I$3:$I$501,'Plan rashoda za unos u SAP'!$C$3:$C$501,"=61",'Plan rashoda za unos u SAP'!$M$3:$M$501,"=312")+SUMIFS('ANALITIKA EU PROJEKATA'!$G$3:$G$501,'ANALITIKA EU PROJEKATA'!$A$3:$A$501,"=61",'ANALITIKA EU PROJEKATA'!$P$3:$P$501,"=312")</f>
        <v>4500</v>
      </c>
      <c r="U7" s="138">
        <f>SUMIFS('Plan rashoda za unos u SAP'!$I$3:$I$501,'Plan rashoda za unos u SAP'!$C$3:$C$501,"=63",'Plan rashoda za unos u SAP'!$M$3:$M$501,"=312")+SUMIFS('ANALITIKA EU PROJEKATA'!$G$3:$G$501,'ANALITIKA EU PROJEKATA'!$A$3:$A$501,"=63",'ANALITIKA EU PROJEKATA'!$P$3:$P$501,"=312")</f>
        <v>0</v>
      </c>
      <c r="V7" s="138">
        <f>SUMIFS('Plan rashoda za unos u SAP'!$I$3:$I$501,'Plan rashoda za unos u SAP'!$C$3:$C$501,"=71",'Plan rashoda za unos u SAP'!$M$3:$M$501,"=312")+SUMIFS('ANALITIKA EU PROJEKATA'!$G$3:$G$501,'ANALITIKA EU PROJEKATA'!$A$3:$A$501,"=71",'ANALITIKA EU PROJEKATA'!$P$3:$P$501,"=312")</f>
        <v>0</v>
      </c>
      <c r="W7" s="138">
        <f>SUMIFS('Plan rashoda za unos u SAP'!$I$3:$I$501,'Plan rashoda za unos u SAP'!$C$3:$C$501,"=81",'Plan rashoda za unos u SAP'!$M$3:$M$501,"=312")+SUMIFS('ANALITIKA EU PROJEKATA'!$G$3:$G$501,'ANALITIKA EU PROJEKATA'!$A$3:$A$501,"=81",'ANALITIKA EU PROJEKATA'!$P$3:$P$501,"=312")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256</v>
      </c>
      <c r="D8" s="14">
        <f t="shared" si="0"/>
        <v>3499913</v>
      </c>
      <c r="E8" s="138">
        <f>SUMIFS('Plan rashoda za unos u SAP'!$I$3:$I$501,'Plan rashoda za unos u SAP'!$C$3:$C$501,"=11",'Plan rashoda za unos u SAP'!$M$3:$M$501,"=313")+SUMIFS('ANALITIKA EU PROJEKATA'!$G$3:$G$501,'ANALITIKA EU PROJEKATA'!$A$3:$A$501,"=11",'ANALITIKA EU PROJEKATA'!$P$3:$P$501,"=313")</f>
        <v>2544300</v>
      </c>
      <c r="F8" s="138">
        <f>SUMIFS('Plan rashoda za unos u SAP'!$I$3:$I$501,'Plan rashoda za unos u SAP'!$C$3:$C$501,"=12",'Plan rashoda za unos u SAP'!$M$3:$M$501,"=313")+SUMIFS('ANALITIKA EU PROJEKATA'!$G$3:$G$501,'ANALITIKA EU PROJEKATA'!$A$3:$A$501,"=12",'ANALITIKA EU PROJEKATA'!$P$3:$P$501,"=313")</f>
        <v>0</v>
      </c>
      <c r="G8" s="138">
        <f>SUMIFS('Plan rashoda za unos u SAP'!$I$3:$I$501,'Plan rashoda za unos u SAP'!$C$3:$C$501,"=31",'Plan rashoda za unos u SAP'!$M$3:$M$501,"=313")+SUMIFS('ANALITIKA EU PROJEKATA'!$G$3:$G$501,'ANALITIKA EU PROJEKATA'!$A$3:$A$501,"=31",'ANALITIKA EU PROJEKATA'!$P$3:$P$501,"=313")</f>
        <v>42000</v>
      </c>
      <c r="H8" s="138">
        <f>SUMIFS('Plan rashoda za unos u SAP'!$I$3:$I$501,'Plan rashoda za unos u SAP'!$C$3:$C$501,"=41",'Plan rashoda za unos u SAP'!$M$3:$M$501,"=313")+SUMIFS('ANALITIKA EU PROJEKATA'!$G$3:$G$501,'ANALITIKA EU PROJEKATA'!$A$3:$A$501,"=41",'ANALITIKA EU PROJEKATA'!$P$3:$P$501,"=313")</f>
        <v>0</v>
      </c>
      <c r="I8" s="138">
        <f>SUMIFS('Plan rashoda za unos u SAP'!$I$3:$I$501,'Plan rashoda za unos u SAP'!$C$3:$C$501,"=43",'Plan rashoda za unos u SAP'!$M$3:$M$501,"=313")+SUMIFS('ANALITIKA EU PROJEKATA'!$G$3:$G$501,'ANALITIKA EU PROJEKATA'!$A$3:$A$501,"=43",'ANALITIKA EU PROJEKATA'!$P$3:$P$501,"=313")</f>
        <v>875846</v>
      </c>
      <c r="J8" s="138">
        <f>SUMIFS('Plan rashoda za unos u SAP'!$I$3:$I$501,'Plan rashoda za unos u SAP'!$C$3:$C$501,"=51",'Plan rashoda za unos u SAP'!$M$3:$M$501,"=313")+SUMIFS('ANALITIKA EU PROJEKATA'!$G$3:$G$501,'ANALITIKA EU PROJEKATA'!$A$3:$A$501,"=51",'ANALITIKA EU PROJEKATA'!$P$3:$P$501,"=313")</f>
        <v>0</v>
      </c>
      <c r="K8" s="138">
        <f>SUMIFS('Plan rashoda za unos u SAP'!$I$3:$I$501,'Plan rashoda za unos u SAP'!$C$3:$C$501,"=52",'Plan rashoda za unos u SAP'!$M$3:$M$501,"=313")+SUMIFS('ANALITIKA EU PROJEKATA'!$G$3:$G$501,'ANALITIKA EU PROJEKATA'!$A$3:$A$501,"=52",'ANALITIKA EU PROJEKATA'!$P$3:$P$501,"=313")</f>
        <v>12484</v>
      </c>
      <c r="L8" s="138">
        <f>SUMIFS('Plan rashoda za unos u SAP'!$I$3:$I$501,'Plan rashoda za unos u SAP'!$C$3:$C$501,"=552",'Plan rashoda za unos u SAP'!$M$3:$M$501,"=313")+SUMIFS('ANALITIKA EU PROJEKATA'!$G$3:$G$501,'ANALITIKA EU PROJEKATA'!$A$3:$A$501,"=552",'ANALITIKA EU PROJEKATA'!$P$3:$P$501,"=313")</f>
        <v>0</v>
      </c>
      <c r="M8" s="138">
        <f>SUMIFS('Plan rashoda za unos u SAP'!$I$3:$I$501,'Plan rashoda za unos u SAP'!$C$3:$C$501,"=559",'Plan rashoda za unos u SAP'!$M$3:$M$501,"=313")+SUMIFS('ANALITIKA EU PROJEKATA'!$G$3:$G$501,'ANALITIKA EU PROJEKATA'!$A$3:$A$501,"=559",'ANALITIKA EU PROJEKATA'!$P$3:$P$501,"=313")</f>
        <v>0</v>
      </c>
      <c r="N8" s="138">
        <f>SUMIFS('Plan rashoda za unos u SAP'!$I$3:$I$501,'Plan rashoda za unos u SAP'!$C$3:$C$501,"=561",'Plan rashoda za unos u SAP'!$M$3:$M$501,"=313")+SUMIFS('ANALITIKA EU PROJEKATA'!$G$3:$G$501,'ANALITIKA EU PROJEKATA'!$A$3:$A$501,"=561",'ANALITIKA EU PROJEKATA'!$P$3:$P$501,"=313")</f>
        <v>0</v>
      </c>
      <c r="O8" s="138">
        <f>SUMIFS('Plan rashoda za unos u SAP'!$I$3:$I$501,'Plan rashoda za unos u SAP'!$C$3:$C$501,"=563",'Plan rashoda za unos u SAP'!$M$3:$M$501,"=313")+SUMIFS('ANALITIKA EU PROJEKATA'!$G$3:$G$501,'ANALITIKA EU PROJEKATA'!$A$3:$A$501,"=563",'ANALITIKA EU PROJEKATA'!$P$3:$P$501,"=313")</f>
        <v>0</v>
      </c>
      <c r="P8" s="138">
        <f>SUMIFS('Plan rashoda za unos u SAP'!$I$3:$I$501,'Plan rashoda za unos u SAP'!$C$3:$C$501,"=573",'Plan rashoda za unos u SAP'!$M$3:$M$501,"=313")+SUMIFS('ANALITIKA EU PROJEKATA'!$G$3:$G$501,'ANALITIKA EU PROJEKATA'!$A$3:$A$501,"=573",'ANALITIKA EU PROJEKATA'!$P$3:$P$501,"=313")</f>
        <v>0</v>
      </c>
      <c r="Q8" s="138">
        <f>SUMIFS('Plan rashoda za unos u SAP'!$I$3:$I$501,'Plan rashoda za unos u SAP'!$C$3:$C$501,"=575",'Plan rashoda za unos u SAP'!$M$3:$M$501,"=313")+SUMIFS('ANALITIKA EU PROJEKATA'!$G$3:$G$501,'ANALITIKA EU PROJEKATA'!$A$3:$A$501,"=575",'ANALITIKA EU PROJEKATA'!$P$3:$P$501,"=313")</f>
        <v>0</v>
      </c>
      <c r="R8" s="138">
        <f>SUMIFS('Plan rashoda za unos u SAP'!$I$3:$I$501,'Plan rashoda za unos u SAP'!$C$3:$C$501,"=576",'Plan rashoda za unos u SAP'!$M$3:$M$501,"=313")+SUMIFS('ANALITIKA EU PROJEKATA'!$G$3:$G$501,'ANALITIKA EU PROJEKATA'!$A$3:$A$501,"=576",'ANALITIKA EU PROJEKATA'!$P$3:$P$501,"=313")</f>
        <v>0</v>
      </c>
      <c r="S8" s="138">
        <f>SUMIFS('Plan rashoda za unos u SAP'!$I$3:$I$501,'Plan rashoda za unos u SAP'!$C$3:$C$501,"=581",'Plan rashoda za unos u SAP'!$M$3:$M$501,"=313")+SUMIFS('ANALITIKA EU PROJEKATA'!$G$3:$G$501,'ANALITIKA EU PROJEKATA'!$A$3:$A$501,"=581",'ANALITIKA EU PROJEKATA'!$P$3:$P$501,"=313")</f>
        <v>0</v>
      </c>
      <c r="T8" s="138">
        <f>SUMIFS('Plan rashoda za unos u SAP'!$I$3:$I$501,'Plan rashoda za unos u SAP'!$C$3:$C$501,"=61",'Plan rashoda za unos u SAP'!$M$3:$M$501,"=313")+SUMIFS('ANALITIKA EU PROJEKATA'!$G$3:$G$501,'ANALITIKA EU PROJEKATA'!$A$3:$A$501,"=61",'ANALITIKA EU PROJEKATA'!$P$3:$P$501,"=313")</f>
        <v>25283</v>
      </c>
      <c r="U8" s="138">
        <f>SUMIFS('Plan rashoda za unos u SAP'!$I$3:$I$501,'Plan rashoda za unos u SAP'!$C$3:$C$501,"=63",'Plan rashoda za unos u SAP'!$M$3:$M$501,"=313")+SUMIFS('ANALITIKA EU PROJEKATA'!$G$3:$G$501,'ANALITIKA EU PROJEKATA'!$A$3:$A$501,"=63",'ANALITIKA EU PROJEKATA'!$P$3:$P$501,"=313")</f>
        <v>0</v>
      </c>
      <c r="V8" s="138">
        <f>SUMIFS('Plan rashoda za unos u SAP'!$I$3:$I$501,'Plan rashoda za unos u SAP'!$C$3:$C$501,"=71",'Plan rashoda za unos u SAP'!$M$3:$M$501,"=313")+SUMIFS('ANALITIKA EU PROJEKATA'!$G$3:$G$501,'ANALITIKA EU PROJEKATA'!$A$3:$A$501,"=71",'ANALITIKA EU PROJEKATA'!$P$3:$P$501,"=313")</f>
        <v>0</v>
      </c>
      <c r="W8" s="138">
        <f>SUMIFS('Plan rashoda za unos u SAP'!$I$3:$I$501,'Plan rashoda za unos u SAP'!$C$3:$C$501,"=81",'Plan rashoda za unos u SAP'!$M$3:$M$501,"=313")+SUMIFS('ANALITIKA EU PROJEKATA'!$G$3:$G$501,'ANALITIKA EU PROJEKATA'!$A$3:$A$501,"=81",'ANALITIKA EU PROJEKATA'!$P$3:$P$501,"=313")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203</v>
      </c>
      <c r="D9" s="4">
        <f t="shared" si="0"/>
        <v>4935306</v>
      </c>
      <c r="E9" s="78">
        <f t="shared" ref="E9:W9" si="4">SUM(E10:E14)</f>
        <v>1153314</v>
      </c>
      <c r="F9" s="78">
        <f t="shared" si="4"/>
        <v>0</v>
      </c>
      <c r="G9" s="78">
        <f>SUM(G10:G14)</f>
        <v>346000</v>
      </c>
      <c r="H9" s="78">
        <f>SUM(H10:H14)</f>
        <v>0</v>
      </c>
      <c r="I9" s="78">
        <f t="shared" si="4"/>
        <v>2998270</v>
      </c>
      <c r="J9" s="78">
        <f t="shared" si="4"/>
        <v>46920</v>
      </c>
      <c r="K9" s="78">
        <f t="shared" si="4"/>
        <v>335802</v>
      </c>
      <c r="L9" s="78">
        <f>SUM(L10:L14)</f>
        <v>0</v>
      </c>
      <c r="M9" s="78">
        <f t="shared" si="4"/>
        <v>0</v>
      </c>
      <c r="N9" s="78">
        <f t="shared" si="4"/>
        <v>0</v>
      </c>
      <c r="O9" s="78">
        <f t="shared" si="4"/>
        <v>0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>SUM(S10:S14)</f>
        <v>0</v>
      </c>
      <c r="T9" s="78">
        <f t="shared" si="4"/>
        <v>55000</v>
      </c>
      <c r="U9" s="78">
        <f t="shared" si="4"/>
        <v>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204</v>
      </c>
      <c r="D10" s="14">
        <f t="shared" si="0"/>
        <v>797307</v>
      </c>
      <c r="E10" s="138">
        <f>SUMIFS('Plan rashoda za unos u SAP'!$I$3:$I$501,'Plan rashoda za unos u SAP'!$C$3:$C$501,"=11",'Plan rashoda za unos u SAP'!$M$3:$M$501,"=321")+SUMIFS('ANALITIKA EU PROJEKATA'!$G$3:$G$501,'ANALITIKA EU PROJEKATA'!$A$3:$A$501,"=11",'ANALITIKA EU PROJEKATA'!$P$3:$P$501,"=321")</f>
        <v>229873</v>
      </c>
      <c r="F10" s="138">
        <f>SUMIFS('Plan rashoda za unos u SAP'!$I$3:$I$501,'Plan rashoda za unos u SAP'!$C$3:$C$501,"=12",'Plan rashoda za unos u SAP'!$M$3:$M$501,"=321")+SUMIFS('ANALITIKA EU PROJEKATA'!$G$3:$G$501,'ANALITIKA EU PROJEKATA'!$A$3:$A$501,"=12",'ANALITIKA EU PROJEKATA'!$P$3:$P$501,"=321")</f>
        <v>0</v>
      </c>
      <c r="G10" s="138">
        <f>SUMIFS('Plan rashoda za unos u SAP'!$I$3:$I$501,'Plan rashoda za unos u SAP'!$C$3:$C$501,"=31",'Plan rashoda za unos u SAP'!$M$3:$M$501,"=321")+SUMIFS('ANALITIKA EU PROJEKATA'!$G$3:$G$501,'ANALITIKA EU PROJEKATA'!$A$3:$A$501,"=31",'ANALITIKA EU PROJEKATA'!$P$3:$P$501,"=321")</f>
        <v>9000</v>
      </c>
      <c r="H10" s="138">
        <f>SUMIFS('Plan rashoda za unos u SAP'!$I$3:$I$501,'Plan rashoda za unos u SAP'!$C$3:$C$501,"=41",'Plan rashoda za unos u SAP'!$M$3:$M$501,"=321")+SUMIFS('ANALITIKA EU PROJEKATA'!$G$3:$G$501,'ANALITIKA EU PROJEKATA'!$A$3:$A$501,"=41",'ANALITIKA EU PROJEKATA'!$P$3:$P$501,"=321")</f>
        <v>0</v>
      </c>
      <c r="I10" s="138">
        <f>SUMIFS('Plan rashoda za unos u SAP'!$I$3:$I$501,'Plan rashoda za unos u SAP'!$C$3:$C$501,"=43",'Plan rashoda za unos u SAP'!$M$3:$M$501,"=321")+SUMIFS('ANALITIKA EU PROJEKATA'!$G$3:$G$501,'ANALITIKA EU PROJEKATA'!$A$3:$A$501,"=43",'ANALITIKA EU PROJEKATA'!$P$3:$P$501,"=321")</f>
        <v>309500</v>
      </c>
      <c r="J10" s="138">
        <f>SUMIFS('Plan rashoda za unos u SAP'!$I$3:$I$501,'Plan rashoda za unos u SAP'!$C$3:$C$501,"=51",'Plan rashoda za unos u SAP'!$M$3:$M$501,"=321")+SUMIFS('ANALITIKA EU PROJEKATA'!$G$3:$G$501,'ANALITIKA EU PROJEKATA'!$A$3:$A$501,"=51",'ANALITIKA EU PROJEKATA'!$P$3:$P$501,"=321")</f>
        <v>0</v>
      </c>
      <c r="K10" s="138">
        <f>SUMIFS('Plan rashoda za unos u SAP'!$I$3:$I$501,'Plan rashoda za unos u SAP'!$C$3:$C$501,"=52",'Plan rashoda za unos u SAP'!$M$3:$M$501,"=321")+SUMIFS('ANALITIKA EU PROJEKATA'!$G$3:$G$501,'ANALITIKA EU PROJEKATA'!$A$3:$A$501,"=52",'ANALITIKA EU PROJEKATA'!$P$3:$P$501,"=321")</f>
        <v>210934</v>
      </c>
      <c r="L10" s="138">
        <f>SUMIFS('Plan rashoda za unos u SAP'!$I$3:$I$501,'Plan rashoda za unos u SAP'!$C$3:$C$501,"=552",'Plan rashoda za unos u SAP'!$M$3:$M$501,"=321")+SUMIFS('ANALITIKA EU PROJEKATA'!$G$3:$G$501,'ANALITIKA EU PROJEKATA'!$A$3:$A$501,"=552",'ANALITIKA EU PROJEKATA'!$P$3:$P$501,"=321")</f>
        <v>0</v>
      </c>
      <c r="M10" s="138">
        <f>SUMIFS('Plan rashoda za unos u SAP'!$I$3:$I$501,'Plan rashoda za unos u SAP'!$C$3:$C$501,"=559",'Plan rashoda za unos u SAP'!$M$3:$M$501,"=321")+SUMIFS('ANALITIKA EU PROJEKATA'!$G$3:$G$501,'ANALITIKA EU PROJEKATA'!$A$3:$A$501,"=559",'ANALITIKA EU PROJEKATA'!$P$3:$P$501,"=321")</f>
        <v>0</v>
      </c>
      <c r="N10" s="138">
        <f>SUMIFS('Plan rashoda za unos u SAP'!$I$3:$I$501,'Plan rashoda za unos u SAP'!$C$3:$C$501,"=561",'Plan rashoda za unos u SAP'!$M$3:$M$501,"=321")+SUMIFS('ANALITIKA EU PROJEKATA'!$G$3:$G$501,'ANALITIKA EU PROJEKATA'!$A$3:$A$501,"=561",'ANALITIKA EU PROJEKATA'!$P$3:$P$501,"=321")</f>
        <v>0</v>
      </c>
      <c r="O10" s="138">
        <f>SUMIFS('Plan rashoda za unos u SAP'!$I$3:$I$501,'Plan rashoda za unos u SAP'!$C$3:$C$501,"=563",'Plan rashoda za unos u SAP'!$M$3:$M$501,"=321")+SUMIFS('ANALITIKA EU PROJEKATA'!$G$3:$G$501,'ANALITIKA EU PROJEKATA'!$A$3:$A$501,"=563",'ANALITIKA EU PROJEKATA'!$P$3:$P$501,"=321")</f>
        <v>0</v>
      </c>
      <c r="P10" s="138">
        <f>SUMIFS('Plan rashoda za unos u SAP'!$I$3:$I$501,'Plan rashoda za unos u SAP'!$C$3:$C$501,"=573",'Plan rashoda za unos u SAP'!$M$3:$M$501,"=321")+SUMIFS('ANALITIKA EU PROJEKATA'!$G$3:$G$501,'ANALITIKA EU PROJEKATA'!$A$3:$A$501,"=573",'ANALITIKA EU PROJEKATA'!$P$3:$P$501,"=321")</f>
        <v>0</v>
      </c>
      <c r="Q10" s="138">
        <f>SUMIFS('Plan rashoda za unos u SAP'!$I$3:$I$501,'Plan rashoda za unos u SAP'!$C$3:$C$501,"=575",'Plan rashoda za unos u SAP'!$M$3:$M$501,"=321")+SUMIFS('ANALITIKA EU PROJEKATA'!$G$3:$G$501,'ANALITIKA EU PROJEKATA'!$A$3:$A$501,"=575",'ANALITIKA EU PROJEKATA'!$P$3:$P$501,"=321")</f>
        <v>0</v>
      </c>
      <c r="R10" s="138">
        <f>SUMIFS('Plan rashoda za unos u SAP'!$I$3:$I$501,'Plan rashoda za unos u SAP'!$C$3:$C$501,"=576",'Plan rashoda za unos u SAP'!$M$3:$M$501,"=321")+SUMIFS('ANALITIKA EU PROJEKATA'!$G$3:$G$501,'ANALITIKA EU PROJEKATA'!$A$3:$A$501,"=576",'ANALITIKA EU PROJEKATA'!$P$3:$P$501,"=321")</f>
        <v>0</v>
      </c>
      <c r="S10" s="138">
        <f>SUMIFS('Plan rashoda za unos u SAP'!$I$3:$I$501,'Plan rashoda za unos u SAP'!$C$3:$C$501,"=581",'Plan rashoda za unos u SAP'!$M$3:$M$501,"=321")+SUMIFS('ANALITIKA EU PROJEKATA'!$G$3:$G$501,'ANALITIKA EU PROJEKATA'!$A$3:$A$501,"=581",'ANALITIKA EU PROJEKATA'!$P$3:$P$501,"=321")</f>
        <v>0</v>
      </c>
      <c r="T10" s="138">
        <f>SUMIFS('Plan rashoda za unos u SAP'!$I$3:$I$501,'Plan rashoda za unos u SAP'!$C$3:$C$501,"=61",'Plan rashoda za unos u SAP'!$M$3:$M$501,"=321")+SUMIFS('ANALITIKA EU PROJEKATA'!$G$3:$G$501,'ANALITIKA EU PROJEKATA'!$A$3:$A$501,"=61",'ANALITIKA EU PROJEKATA'!$P$3:$P$501,"=321")</f>
        <v>38000</v>
      </c>
      <c r="U10" s="138">
        <f>SUMIFS('Plan rashoda za unos u SAP'!$I$3:$I$501,'Plan rashoda za unos u SAP'!$C$3:$C$501,"=63",'Plan rashoda za unos u SAP'!$M$3:$M$501,"=321")+SUMIFS('ANALITIKA EU PROJEKATA'!$G$3:$G$501,'ANALITIKA EU PROJEKATA'!$A$3:$A$501,"=63",'ANALITIKA EU PROJEKATA'!$P$3:$P$501,"=321")</f>
        <v>0</v>
      </c>
      <c r="V10" s="138">
        <f>SUMIFS('Plan rashoda za unos u SAP'!$I$3:$I$501,'Plan rashoda za unos u SAP'!$C$3:$C$501,"=71",'Plan rashoda za unos u SAP'!$M$3:$M$501,"=321")+SUMIFS('ANALITIKA EU PROJEKATA'!$G$3:$G$501,'ANALITIKA EU PROJEKATA'!$A$3:$A$501,"=71",'ANALITIKA EU PROJEKATA'!$P$3:$P$501,"=321")</f>
        <v>0</v>
      </c>
      <c r="W10" s="138">
        <f>SUMIFS('Plan rashoda za unos u SAP'!$I$3:$I$501,'Plan rashoda za unos u SAP'!$C$3:$C$501,"=81",'Plan rashoda za unos u SAP'!$M$3:$M$501,"=321")+SUMIFS('ANALITIKA EU PROJEKATA'!$G$3:$G$501,'ANALITIKA EU PROJEKATA'!$A$3:$A$501,"=81",'ANALITIKA EU PROJEKATA'!$P$3:$P$501,"=321")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205</v>
      </c>
      <c r="D11" s="14">
        <f t="shared" si="0"/>
        <v>829000</v>
      </c>
      <c r="E11" s="138">
        <f>SUMIFS('Plan rashoda za unos u SAP'!$I$3:$I$501,'Plan rashoda za unos u SAP'!$C$3:$C$501,"=11",'Plan rashoda za unos u SAP'!$M$3:$M$501,"=322")+SUMIFS('ANALITIKA EU PROJEKATA'!$G$3:$G$501,'ANALITIKA EU PROJEKATA'!$A$3:$A$501,"=11",'ANALITIKA EU PROJEKATA'!$P$3:$P$501,"=322")</f>
        <v>336000</v>
      </c>
      <c r="F11" s="138">
        <f>SUMIFS('Plan rashoda za unos u SAP'!$I$3:$I$501,'Plan rashoda za unos u SAP'!$C$3:$C$501,"=12",'Plan rashoda za unos u SAP'!$M$3:$M$501,"=322")+SUMIFS('ANALITIKA EU PROJEKATA'!$G$3:$G$501,'ANALITIKA EU PROJEKATA'!$A$3:$A$501,"=12",'ANALITIKA EU PROJEKATA'!$P$3:$P$501,"=322")</f>
        <v>0</v>
      </c>
      <c r="G11" s="138">
        <f>SUMIFS('Plan rashoda za unos u SAP'!$I$3:$I$501,'Plan rashoda za unos u SAP'!$C$3:$C$501,"=31",'Plan rashoda za unos u SAP'!$M$3:$M$501,"=322")+SUMIFS('ANALITIKA EU PROJEKATA'!$G$3:$G$501,'ANALITIKA EU PROJEKATA'!$A$3:$A$501,"=31",'ANALITIKA EU PROJEKATA'!$P$3:$P$501,"=322")</f>
        <v>1000</v>
      </c>
      <c r="H11" s="138">
        <f>SUMIFS('Plan rashoda za unos u SAP'!$I$3:$I$501,'Plan rashoda za unos u SAP'!$C$3:$C$501,"=41",'Plan rashoda za unos u SAP'!$M$3:$M$501,"=322")+SUMIFS('ANALITIKA EU PROJEKATA'!$G$3:$G$501,'ANALITIKA EU PROJEKATA'!$A$3:$A$501,"=41",'ANALITIKA EU PROJEKATA'!$P$3:$P$501,"=322")</f>
        <v>0</v>
      </c>
      <c r="I11" s="138">
        <f>SUMIFS('Plan rashoda za unos u SAP'!$I$3:$I$501,'Plan rashoda za unos u SAP'!$C$3:$C$501,"=43",'Plan rashoda za unos u SAP'!$M$3:$M$501,"=322")+SUMIFS('ANALITIKA EU PROJEKATA'!$G$3:$G$501,'ANALITIKA EU PROJEKATA'!$A$3:$A$501,"=43",'ANALITIKA EU PROJEKATA'!$P$3:$P$501,"=322")</f>
        <v>492000</v>
      </c>
      <c r="J11" s="138">
        <f>SUMIFS('Plan rashoda za unos u SAP'!$I$3:$I$501,'Plan rashoda za unos u SAP'!$C$3:$C$501,"=51",'Plan rashoda za unos u SAP'!$M$3:$M$501,"=322")+SUMIFS('ANALITIKA EU PROJEKATA'!$G$3:$G$501,'ANALITIKA EU PROJEKATA'!$A$3:$A$501,"=51",'ANALITIKA EU PROJEKATA'!$P$3:$P$501,"=322")</f>
        <v>0</v>
      </c>
      <c r="K11" s="138">
        <f>SUMIFS('Plan rashoda za unos u SAP'!$I$3:$I$501,'Plan rashoda za unos u SAP'!$C$3:$C$501,"=52",'Plan rashoda za unos u SAP'!$M$3:$M$501,"=322")+SUMIFS('ANALITIKA EU PROJEKATA'!$G$3:$G$501,'ANALITIKA EU PROJEKATA'!$A$3:$A$501,"=52",'ANALITIKA EU PROJEKATA'!$P$3:$P$501,"=322")</f>
        <v>0</v>
      </c>
      <c r="L11" s="138">
        <f>SUMIFS('Plan rashoda za unos u SAP'!$I$3:$I$501,'Plan rashoda za unos u SAP'!$C$3:$C$501,"=552",'Plan rashoda za unos u SAP'!$M$3:$M$501,"=322")+SUMIFS('ANALITIKA EU PROJEKATA'!$G$3:$G$501,'ANALITIKA EU PROJEKATA'!$A$3:$A$501,"=552",'ANALITIKA EU PROJEKATA'!$P$3:$P$501,"=322")</f>
        <v>0</v>
      </c>
      <c r="M11" s="138">
        <f>SUMIFS('Plan rashoda za unos u SAP'!$I$3:$I$501,'Plan rashoda za unos u SAP'!$C$3:$C$501,"=559",'Plan rashoda za unos u SAP'!$M$3:$M$501,"=322")+SUMIFS('ANALITIKA EU PROJEKATA'!$G$3:$G$501,'ANALITIKA EU PROJEKATA'!$A$3:$A$501,"=559",'ANALITIKA EU PROJEKATA'!$P$3:$P$501,"=322")</f>
        <v>0</v>
      </c>
      <c r="N11" s="138">
        <f>SUMIFS('Plan rashoda za unos u SAP'!$I$3:$I$501,'Plan rashoda za unos u SAP'!$C$3:$C$501,"=561",'Plan rashoda za unos u SAP'!$M$3:$M$501,"=322")+SUMIFS('ANALITIKA EU PROJEKATA'!$G$3:$G$501,'ANALITIKA EU PROJEKATA'!$A$3:$A$501,"=561",'ANALITIKA EU PROJEKATA'!$P$3:$P$501,"=322")</f>
        <v>0</v>
      </c>
      <c r="O11" s="138">
        <f>SUMIFS('Plan rashoda za unos u SAP'!$I$3:$I$501,'Plan rashoda za unos u SAP'!$C$3:$C$501,"=563",'Plan rashoda za unos u SAP'!$M$3:$M$501,"=322")+SUMIFS('ANALITIKA EU PROJEKATA'!$G$3:$G$501,'ANALITIKA EU PROJEKATA'!$A$3:$A$501,"=563",'ANALITIKA EU PROJEKATA'!$P$3:$P$501,"=322")</f>
        <v>0</v>
      </c>
      <c r="P11" s="138">
        <f>SUMIFS('Plan rashoda za unos u SAP'!$I$3:$I$501,'Plan rashoda za unos u SAP'!$C$3:$C$501,"=573",'Plan rashoda za unos u SAP'!$M$3:$M$501,"=322")+SUMIFS('ANALITIKA EU PROJEKATA'!$G$3:$G$501,'ANALITIKA EU PROJEKATA'!$A$3:$A$501,"=573",'ANALITIKA EU PROJEKATA'!$P$3:$P$501,"=322")</f>
        <v>0</v>
      </c>
      <c r="Q11" s="138">
        <f>SUMIFS('Plan rashoda za unos u SAP'!$I$3:$I$501,'Plan rashoda za unos u SAP'!$C$3:$C$501,"=575",'Plan rashoda za unos u SAP'!$M$3:$M$501,"=322")+SUMIFS('ANALITIKA EU PROJEKATA'!$G$3:$G$501,'ANALITIKA EU PROJEKATA'!$A$3:$A$501,"=575",'ANALITIKA EU PROJEKATA'!$P$3:$P$501,"=322")</f>
        <v>0</v>
      </c>
      <c r="R11" s="138">
        <f>SUMIFS('Plan rashoda za unos u SAP'!$I$3:$I$501,'Plan rashoda za unos u SAP'!$C$3:$C$501,"=576",'Plan rashoda za unos u SAP'!$M$3:$M$501,"=322")+SUMIFS('ANALITIKA EU PROJEKATA'!$G$3:$G$501,'ANALITIKA EU PROJEKATA'!$A$3:$A$501,"=576",'ANALITIKA EU PROJEKATA'!$P$3:$P$501,"=322")</f>
        <v>0</v>
      </c>
      <c r="S11" s="138">
        <f>SUMIFS('Plan rashoda za unos u SAP'!$I$3:$I$501,'Plan rashoda za unos u SAP'!$C$3:$C$501,"=581",'Plan rashoda za unos u SAP'!$M$3:$M$501,"=322")+SUMIFS('ANALITIKA EU PROJEKATA'!$G$3:$G$501,'ANALITIKA EU PROJEKATA'!$A$3:$A$501,"=581",'ANALITIKA EU PROJEKATA'!$P$3:$P$501,"=322")</f>
        <v>0</v>
      </c>
      <c r="T11" s="138">
        <f>SUMIFS('Plan rashoda za unos u SAP'!$I$3:$I$501,'Plan rashoda za unos u SAP'!$C$3:$C$501,"=61",'Plan rashoda za unos u SAP'!$M$3:$M$501,"=322")+SUMIFS('ANALITIKA EU PROJEKATA'!$G$3:$G$501,'ANALITIKA EU PROJEKATA'!$A$3:$A$501,"=61",'ANALITIKA EU PROJEKATA'!$P$3:$P$501,"=322")</f>
        <v>0</v>
      </c>
      <c r="U11" s="138">
        <f>SUMIFS('Plan rashoda za unos u SAP'!$I$3:$I$501,'Plan rashoda za unos u SAP'!$C$3:$C$501,"=63",'Plan rashoda za unos u SAP'!$M$3:$M$501,"=322")+SUMIFS('ANALITIKA EU PROJEKATA'!$G$3:$G$501,'ANALITIKA EU PROJEKATA'!$A$3:$A$501,"=63",'ANALITIKA EU PROJEKATA'!$P$3:$P$501,"=322")</f>
        <v>0</v>
      </c>
      <c r="V11" s="138">
        <f>SUMIFS('Plan rashoda za unos u SAP'!$I$3:$I$501,'Plan rashoda za unos u SAP'!$C$3:$C$501,"=71",'Plan rashoda za unos u SAP'!$M$3:$M$501,"=322")+SUMIFS('ANALITIKA EU PROJEKATA'!$G$3:$G$501,'ANALITIKA EU PROJEKATA'!$A$3:$A$501,"=71",'ANALITIKA EU PROJEKATA'!$P$3:$P$501,"=322")</f>
        <v>0</v>
      </c>
      <c r="W11" s="138">
        <f>SUMIFS('Plan rashoda za unos u SAP'!$I$3:$I$501,'Plan rashoda za unos u SAP'!$C$3:$C$501,"=81",'Plan rashoda za unos u SAP'!$M$3:$M$501,"=322")+SUMIFS('ANALITIKA EU PROJEKATA'!$G$3:$G$501,'ANALITIKA EU PROJEKATA'!$A$3:$A$501,"=81",'ANALITIKA EU PROJEKATA'!$P$3:$P$501,"=322")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206</v>
      </c>
      <c r="D12" s="14">
        <f t="shared" si="0"/>
        <v>2702298</v>
      </c>
      <c r="E12" s="138">
        <f>SUMIFS('Plan rashoda za unos u SAP'!$I$3:$I$501,'Plan rashoda za unos u SAP'!$C$3:$C$501,"=11",'Plan rashoda za unos u SAP'!$M$3:$M$501,"=323")+SUMIFS('ANALITIKA EU PROJEKATA'!$G$3:$G$501,'ANALITIKA EU PROJEKATA'!$A$3:$A$501,"=11",'ANALITIKA EU PROJEKATA'!$P$3:$P$501,"=323")</f>
        <v>548441</v>
      </c>
      <c r="F12" s="138">
        <f>SUMIFS('Plan rashoda za unos u SAP'!$I$3:$I$501,'Plan rashoda za unos u SAP'!$C$3:$C$501,"=12",'Plan rashoda za unos u SAP'!$M$3:$M$501,"=323")+SUMIFS('ANALITIKA EU PROJEKATA'!$G$3:$G$501,'ANALITIKA EU PROJEKATA'!$A$3:$A$501,"=12",'ANALITIKA EU PROJEKATA'!$P$3:$P$501,"=323")</f>
        <v>0</v>
      </c>
      <c r="G12" s="138">
        <f>SUMIFS('Plan rashoda za unos u SAP'!$I$3:$I$501,'Plan rashoda za unos u SAP'!$C$3:$C$501,"=31",'Plan rashoda za unos u SAP'!$M$3:$M$501,"=323")+SUMIFS('ANALITIKA EU PROJEKATA'!$G$3:$G$501,'ANALITIKA EU PROJEKATA'!$A$3:$A$501,"=31",'ANALITIKA EU PROJEKATA'!$P$3:$P$501,"=323")</f>
        <v>273000</v>
      </c>
      <c r="H12" s="138">
        <f>SUMIFS('Plan rashoda za unos u SAP'!$I$3:$I$501,'Plan rashoda za unos u SAP'!$C$3:$C$501,"=41",'Plan rashoda za unos u SAP'!$M$3:$M$501,"=323")+SUMIFS('ANALITIKA EU PROJEKATA'!$G$3:$G$501,'ANALITIKA EU PROJEKATA'!$A$3:$A$501,"=41",'ANALITIKA EU PROJEKATA'!$P$3:$P$501,"=323")</f>
        <v>0</v>
      </c>
      <c r="I12" s="138">
        <f>SUMIFS('Plan rashoda za unos u SAP'!$I$3:$I$501,'Plan rashoda za unos u SAP'!$C$3:$C$501,"=43",'Plan rashoda za unos u SAP'!$M$3:$M$501,"=323")+SUMIFS('ANALITIKA EU PROJEKATA'!$G$3:$G$501,'ANALITIKA EU PROJEKATA'!$A$3:$A$501,"=43",'ANALITIKA EU PROJEKATA'!$P$3:$P$501,"=323")</f>
        <v>1745770</v>
      </c>
      <c r="J12" s="138">
        <f>SUMIFS('Plan rashoda za unos u SAP'!$I$3:$I$501,'Plan rashoda za unos u SAP'!$C$3:$C$501,"=51",'Plan rashoda za unos u SAP'!$M$3:$M$501,"=323")+SUMIFS('ANALITIKA EU PROJEKATA'!$G$3:$G$501,'ANALITIKA EU PROJEKATA'!$A$3:$A$501,"=51",'ANALITIKA EU PROJEKATA'!$P$3:$P$501,"=323")</f>
        <v>38640</v>
      </c>
      <c r="K12" s="138">
        <f>SUMIFS('Plan rashoda za unos u SAP'!$I$3:$I$501,'Plan rashoda za unos u SAP'!$C$3:$C$501,"=52",'Plan rashoda za unos u SAP'!$M$3:$M$501,"=323")+SUMIFS('ANALITIKA EU PROJEKATA'!$G$3:$G$501,'ANALITIKA EU PROJEKATA'!$A$3:$A$501,"=52",'ANALITIKA EU PROJEKATA'!$P$3:$P$501,"=323")</f>
        <v>84447</v>
      </c>
      <c r="L12" s="138">
        <f>SUMIFS('Plan rashoda za unos u SAP'!$I$3:$I$501,'Plan rashoda za unos u SAP'!$C$3:$C$501,"=552",'Plan rashoda za unos u SAP'!$M$3:$M$501,"=323")+SUMIFS('ANALITIKA EU PROJEKATA'!$G$3:$G$501,'ANALITIKA EU PROJEKATA'!$A$3:$A$501,"=552",'ANALITIKA EU PROJEKATA'!$P$3:$P$501,"=323")</f>
        <v>0</v>
      </c>
      <c r="M12" s="138">
        <f>SUMIFS('Plan rashoda za unos u SAP'!$I$3:$I$501,'Plan rashoda za unos u SAP'!$C$3:$C$501,"=559",'Plan rashoda za unos u SAP'!$M$3:$M$501,"=323")+SUMIFS('ANALITIKA EU PROJEKATA'!$G$3:$G$501,'ANALITIKA EU PROJEKATA'!$A$3:$A$501,"=559",'ANALITIKA EU PROJEKATA'!$P$3:$P$501,"=323")</f>
        <v>0</v>
      </c>
      <c r="N12" s="138">
        <f>SUMIFS('Plan rashoda za unos u SAP'!$I$3:$I$501,'Plan rashoda za unos u SAP'!$C$3:$C$501,"=561",'Plan rashoda za unos u SAP'!$M$3:$M$501,"=323")+SUMIFS('ANALITIKA EU PROJEKATA'!$G$3:$G$501,'ANALITIKA EU PROJEKATA'!$A$3:$A$501,"=561",'ANALITIKA EU PROJEKATA'!$P$3:$P$501,"=323")</f>
        <v>0</v>
      </c>
      <c r="O12" s="138">
        <f>SUMIFS('Plan rashoda za unos u SAP'!$I$3:$I$501,'Plan rashoda za unos u SAP'!$C$3:$C$501,"=563",'Plan rashoda za unos u SAP'!$M$3:$M$501,"=323")+SUMIFS('ANALITIKA EU PROJEKATA'!$G$3:$G$501,'ANALITIKA EU PROJEKATA'!$A$3:$A$501,"=563",'ANALITIKA EU PROJEKATA'!$P$3:$P$501,"=323")</f>
        <v>0</v>
      </c>
      <c r="P12" s="138">
        <f>SUMIFS('Plan rashoda za unos u SAP'!$I$3:$I$501,'Plan rashoda za unos u SAP'!$C$3:$C$501,"=573",'Plan rashoda za unos u SAP'!$M$3:$M$501,"=323")+SUMIFS('ANALITIKA EU PROJEKATA'!$G$3:$G$501,'ANALITIKA EU PROJEKATA'!$A$3:$A$501,"=573",'ANALITIKA EU PROJEKATA'!$P$3:$P$501,"=323")</f>
        <v>0</v>
      </c>
      <c r="Q12" s="138">
        <f>SUMIFS('Plan rashoda za unos u SAP'!$I$3:$I$501,'Plan rashoda za unos u SAP'!$C$3:$C$501,"=575",'Plan rashoda za unos u SAP'!$M$3:$M$501,"=323")+SUMIFS('ANALITIKA EU PROJEKATA'!$G$3:$G$501,'ANALITIKA EU PROJEKATA'!$A$3:$A$501,"=575",'ANALITIKA EU PROJEKATA'!$P$3:$P$501,"=323")</f>
        <v>0</v>
      </c>
      <c r="R12" s="138">
        <f>SUMIFS('Plan rashoda za unos u SAP'!$I$3:$I$501,'Plan rashoda za unos u SAP'!$C$3:$C$501,"=576",'Plan rashoda za unos u SAP'!$M$3:$M$501,"=323")+SUMIFS('ANALITIKA EU PROJEKATA'!$G$3:$G$501,'ANALITIKA EU PROJEKATA'!$A$3:$A$501,"=576",'ANALITIKA EU PROJEKATA'!$P$3:$P$501,"=323")</f>
        <v>0</v>
      </c>
      <c r="S12" s="138">
        <f>SUMIFS('Plan rashoda za unos u SAP'!$I$3:$I$501,'Plan rashoda za unos u SAP'!$C$3:$C$501,"=581",'Plan rashoda za unos u SAP'!$M$3:$M$501,"=323")+SUMIFS('ANALITIKA EU PROJEKATA'!$G$3:$G$501,'ANALITIKA EU PROJEKATA'!$A$3:$A$501,"=581",'ANALITIKA EU PROJEKATA'!$P$3:$P$501,"=323")</f>
        <v>0</v>
      </c>
      <c r="T12" s="138">
        <f>SUMIFS('Plan rashoda za unos u SAP'!$I$3:$I$501,'Plan rashoda za unos u SAP'!$C$3:$C$501,"=61",'Plan rashoda za unos u SAP'!$M$3:$M$501,"=323")+SUMIFS('ANALITIKA EU PROJEKATA'!$G$3:$G$501,'ANALITIKA EU PROJEKATA'!$A$3:$A$501,"=61",'ANALITIKA EU PROJEKATA'!$P$3:$P$501,"=323")</f>
        <v>12000</v>
      </c>
      <c r="U12" s="138">
        <f>SUMIFS('Plan rashoda za unos u SAP'!$I$3:$I$501,'Plan rashoda za unos u SAP'!$C$3:$C$501,"=63",'Plan rashoda za unos u SAP'!$M$3:$M$501,"=323")+SUMIFS('ANALITIKA EU PROJEKATA'!$G$3:$G$501,'ANALITIKA EU PROJEKATA'!$A$3:$A$501,"=63",'ANALITIKA EU PROJEKATA'!$P$3:$P$501,"=323")</f>
        <v>0</v>
      </c>
      <c r="V12" s="138">
        <f>SUMIFS('Plan rashoda za unos u SAP'!$I$3:$I$501,'Plan rashoda za unos u SAP'!$C$3:$C$501,"=71",'Plan rashoda za unos u SAP'!$M$3:$M$501,"=323")+SUMIFS('ANALITIKA EU PROJEKATA'!$G$3:$G$501,'ANALITIKA EU PROJEKATA'!$A$3:$A$501,"=71",'ANALITIKA EU PROJEKATA'!$P$3:$P$501,"=323")</f>
        <v>0</v>
      </c>
      <c r="W12" s="138">
        <f>SUMIFS('Plan rashoda za unos u SAP'!$I$3:$I$501,'Plan rashoda za unos u SAP'!$C$3:$C$501,"=81",'Plan rashoda za unos u SAP'!$M$3:$M$501,"=323")+SUMIFS('ANALITIKA EU PROJEKATA'!$G$3:$G$501,'ANALITIKA EU PROJEKATA'!$A$3:$A$501,"=81",'ANALITIKA EU PROJEKATA'!$P$3:$P$501,"=323")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84</v>
      </c>
      <c r="D13" s="14">
        <f t="shared" si="0"/>
        <v>246210</v>
      </c>
      <c r="E13" s="138">
        <f>SUMIFS('Plan rashoda za unos u SAP'!$I$3:$I$501,'Plan rashoda za unos u SAP'!$C$3:$C$501,"=11",'Plan rashoda za unos u SAP'!$M$3:$M$501,"=324")+SUMIFS('ANALITIKA EU PROJEKATA'!$G$3:$G$501,'ANALITIKA EU PROJEKATA'!$A$3:$A$501,"=11",'ANALITIKA EU PROJEKATA'!$P$3:$P$501,"=324")</f>
        <v>30000</v>
      </c>
      <c r="F13" s="138">
        <f>SUMIFS('Plan rashoda za unos u SAP'!$I$3:$I$501,'Plan rashoda za unos u SAP'!$C$3:$C$501,"=12",'Plan rashoda za unos u SAP'!$M$3:$M$501,"=324")+SUMIFS('ANALITIKA EU PROJEKATA'!$G$3:$G$501,'ANALITIKA EU PROJEKATA'!$A$3:$A$501,"=12",'ANALITIKA EU PROJEKATA'!$P$3:$P$501,"=324")</f>
        <v>0</v>
      </c>
      <c r="G13" s="138">
        <f>SUMIFS('Plan rashoda za unos u SAP'!$I$3:$I$501,'Plan rashoda za unos u SAP'!$C$3:$C$501,"=31",'Plan rashoda za unos u SAP'!$M$3:$M$501,"=324")+SUMIFS('ANALITIKA EU PROJEKATA'!$G$3:$G$501,'ANALITIKA EU PROJEKATA'!$A$3:$A$501,"=31",'ANALITIKA EU PROJEKATA'!$P$3:$P$501,"=324")</f>
        <v>23000</v>
      </c>
      <c r="H13" s="138">
        <f>SUMIFS('Plan rashoda za unos u SAP'!$I$3:$I$501,'Plan rashoda za unos u SAP'!$C$3:$C$501,"=41",'Plan rashoda za unos u SAP'!$M$3:$M$501,"=324")+SUMIFS('ANALITIKA EU PROJEKATA'!$G$3:$G$501,'ANALITIKA EU PROJEKATA'!$A$3:$A$501,"=41",'ANALITIKA EU PROJEKATA'!$P$3:$P$501,"=324")</f>
        <v>0</v>
      </c>
      <c r="I13" s="138">
        <f>SUMIFS('Plan rashoda za unos u SAP'!$I$3:$I$501,'Plan rashoda za unos u SAP'!$C$3:$C$501,"=43",'Plan rashoda za unos u SAP'!$M$3:$M$501,"=324")+SUMIFS('ANALITIKA EU PROJEKATA'!$G$3:$G$501,'ANALITIKA EU PROJEKATA'!$A$3:$A$501,"=43",'ANALITIKA EU PROJEKATA'!$P$3:$P$501,"=324")</f>
        <v>172000</v>
      </c>
      <c r="J13" s="138">
        <f>SUMIFS('Plan rashoda za unos u SAP'!$I$3:$I$501,'Plan rashoda za unos u SAP'!$C$3:$C$501,"=51",'Plan rashoda za unos u SAP'!$M$3:$M$501,"=324")+SUMIFS('ANALITIKA EU PROJEKATA'!$G$3:$G$501,'ANALITIKA EU PROJEKATA'!$A$3:$A$501,"=51",'ANALITIKA EU PROJEKATA'!$P$3:$P$501,"=324")</f>
        <v>6210</v>
      </c>
      <c r="K13" s="138">
        <f>SUMIFS('Plan rashoda za unos u SAP'!$I$3:$I$501,'Plan rashoda za unos u SAP'!$C$3:$C$501,"=52",'Plan rashoda za unos u SAP'!$M$3:$M$501,"=324")+SUMIFS('ANALITIKA EU PROJEKATA'!$G$3:$G$501,'ANALITIKA EU PROJEKATA'!$A$3:$A$501,"=52",'ANALITIKA EU PROJEKATA'!$P$3:$P$501,"=324")</f>
        <v>15000</v>
      </c>
      <c r="L13" s="138">
        <f>SUMIFS('Plan rashoda za unos u SAP'!$I$3:$I$501,'Plan rashoda za unos u SAP'!$C$3:$C$501,"=552",'Plan rashoda za unos u SAP'!$M$3:$M$501,"=324")+SUMIFS('ANALITIKA EU PROJEKATA'!$G$3:$G$501,'ANALITIKA EU PROJEKATA'!$A$3:$A$501,"=552",'ANALITIKA EU PROJEKATA'!$P$3:$P$501,"=324")</f>
        <v>0</v>
      </c>
      <c r="M13" s="138">
        <f>SUMIFS('Plan rashoda za unos u SAP'!$I$3:$I$501,'Plan rashoda za unos u SAP'!$C$3:$C$501,"=559",'Plan rashoda za unos u SAP'!$M$3:$M$501,"=324")+SUMIFS('ANALITIKA EU PROJEKATA'!$G$3:$G$501,'ANALITIKA EU PROJEKATA'!$A$3:$A$501,"=559",'ANALITIKA EU PROJEKATA'!$P$3:$P$501,"=324")</f>
        <v>0</v>
      </c>
      <c r="N13" s="138">
        <f>SUMIFS('Plan rashoda za unos u SAP'!$I$3:$I$501,'Plan rashoda za unos u SAP'!$C$3:$C$501,"=561",'Plan rashoda za unos u SAP'!$M$3:$M$501,"=324")+SUMIFS('ANALITIKA EU PROJEKATA'!$G$3:$G$501,'ANALITIKA EU PROJEKATA'!$A$3:$A$501,"=561",'ANALITIKA EU PROJEKATA'!$P$3:$P$501,"=324")</f>
        <v>0</v>
      </c>
      <c r="O13" s="138">
        <f>SUMIFS('Plan rashoda za unos u SAP'!$I$3:$I$501,'Plan rashoda za unos u SAP'!$C$3:$C$501,"=563",'Plan rashoda za unos u SAP'!$M$3:$M$501,"=324")+SUMIFS('ANALITIKA EU PROJEKATA'!$G$3:$G$501,'ANALITIKA EU PROJEKATA'!$A$3:$A$501,"=563",'ANALITIKA EU PROJEKATA'!$P$3:$P$501,"=324")</f>
        <v>0</v>
      </c>
      <c r="P13" s="138">
        <f>SUMIFS('Plan rashoda za unos u SAP'!$I$3:$I$501,'Plan rashoda za unos u SAP'!$C$3:$C$501,"=573",'Plan rashoda za unos u SAP'!$M$3:$M$501,"=324")+SUMIFS('ANALITIKA EU PROJEKATA'!$G$3:$G$501,'ANALITIKA EU PROJEKATA'!$A$3:$A$501,"=573",'ANALITIKA EU PROJEKATA'!$P$3:$P$501,"=324")</f>
        <v>0</v>
      </c>
      <c r="Q13" s="138">
        <f>SUMIFS('Plan rashoda za unos u SAP'!$I$3:$I$501,'Plan rashoda za unos u SAP'!$C$3:$C$501,"=575",'Plan rashoda za unos u SAP'!$M$3:$M$501,"=324")+SUMIFS('ANALITIKA EU PROJEKATA'!$G$3:$G$501,'ANALITIKA EU PROJEKATA'!$A$3:$A$501,"=575",'ANALITIKA EU PROJEKATA'!$P$3:$P$501,"=324")</f>
        <v>0</v>
      </c>
      <c r="R13" s="138">
        <f>SUMIFS('Plan rashoda za unos u SAP'!$I$3:$I$501,'Plan rashoda za unos u SAP'!$C$3:$C$501,"=576",'Plan rashoda za unos u SAP'!$M$3:$M$501,"=324")+SUMIFS('ANALITIKA EU PROJEKATA'!$G$3:$G$501,'ANALITIKA EU PROJEKATA'!$A$3:$A$501,"=576",'ANALITIKA EU PROJEKATA'!$P$3:$P$501,"=324")</f>
        <v>0</v>
      </c>
      <c r="S13" s="138">
        <f>SUMIFS('Plan rashoda za unos u SAP'!$I$3:$I$501,'Plan rashoda za unos u SAP'!$C$3:$C$501,"=581",'Plan rashoda za unos u SAP'!$M$3:$M$501,"=324")+SUMIFS('ANALITIKA EU PROJEKATA'!$G$3:$G$501,'ANALITIKA EU PROJEKATA'!$A$3:$A$501,"=581",'ANALITIKA EU PROJEKATA'!$P$3:$P$501,"=324")</f>
        <v>0</v>
      </c>
      <c r="T13" s="138">
        <f>SUMIFS('Plan rashoda za unos u SAP'!$I$3:$I$501,'Plan rashoda za unos u SAP'!$C$3:$C$501,"=61",'Plan rashoda za unos u SAP'!$M$3:$M$501,"=324")+SUMIFS('ANALITIKA EU PROJEKATA'!$G$3:$G$501,'ANALITIKA EU PROJEKATA'!$A$3:$A$501,"=61",'ANALITIKA EU PROJEKATA'!$P$3:$P$501,"=324")</f>
        <v>0</v>
      </c>
      <c r="U13" s="138">
        <f>SUMIFS('Plan rashoda za unos u SAP'!$I$3:$I$501,'Plan rashoda za unos u SAP'!$C$3:$C$501,"=63",'Plan rashoda za unos u SAP'!$M$3:$M$501,"=324")+SUMIFS('ANALITIKA EU PROJEKATA'!$G$3:$G$501,'ANALITIKA EU PROJEKATA'!$A$3:$A$501,"=63",'ANALITIKA EU PROJEKATA'!$P$3:$P$501,"=324")</f>
        <v>0</v>
      </c>
      <c r="V13" s="138">
        <f>SUMIFS('Plan rashoda za unos u SAP'!$I$3:$I$501,'Plan rashoda za unos u SAP'!$C$3:$C$501,"=71",'Plan rashoda za unos u SAP'!$M$3:$M$501,"=324")+SUMIFS('ANALITIKA EU PROJEKATA'!$G$3:$G$501,'ANALITIKA EU PROJEKATA'!$A$3:$A$501,"=71",'ANALITIKA EU PROJEKATA'!$P$3:$P$501,"=324")</f>
        <v>0</v>
      </c>
      <c r="W13" s="138">
        <f>SUMIFS('Plan rashoda za unos u SAP'!$I$3:$I$501,'Plan rashoda za unos u SAP'!$C$3:$C$501,"=81",'Plan rashoda za unos u SAP'!$M$3:$M$501,"=324")+SUMIFS('ANALITIKA EU PROJEKATA'!$G$3:$G$501,'ANALITIKA EU PROJEKATA'!$A$3:$A$501,"=81",'ANALITIKA EU PROJEKATA'!$P$3:$P$501,"=324")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61</v>
      </c>
      <c r="D14" s="14">
        <f t="shared" si="0"/>
        <v>360491</v>
      </c>
      <c r="E14" s="138">
        <f>SUMIFS('Plan rashoda za unos u SAP'!$I$3:$I$501,'Plan rashoda za unos u SAP'!$C$3:$C$501,"=11",'Plan rashoda za unos u SAP'!$M$3:$M$501,"=329")+SUMIFS('ANALITIKA EU PROJEKATA'!$G$3:$G$501,'ANALITIKA EU PROJEKATA'!$A$3:$A$501,"=11",'ANALITIKA EU PROJEKATA'!$P$3:$P$501,"=329")</f>
        <v>9000</v>
      </c>
      <c r="F14" s="138">
        <f>SUMIFS('Plan rashoda za unos u SAP'!$I$3:$I$501,'Plan rashoda za unos u SAP'!$C$3:$C$501,"=12",'Plan rashoda za unos u SAP'!$M$3:$M$501,"=329")+SUMIFS('ANALITIKA EU PROJEKATA'!$G$3:$G$501,'ANALITIKA EU PROJEKATA'!$A$3:$A$501,"=12",'ANALITIKA EU PROJEKATA'!$P$3:$P$501,"=329")</f>
        <v>0</v>
      </c>
      <c r="G14" s="138">
        <f>SUMIFS('Plan rashoda za unos u SAP'!$I$3:$I$501,'Plan rashoda za unos u SAP'!$C$3:$C$501,"=31",'Plan rashoda za unos u SAP'!$M$3:$M$501,"=329")+SUMIFS('ANALITIKA EU PROJEKATA'!$G$3:$G$501,'ANALITIKA EU PROJEKATA'!$A$3:$A$501,"=31",'ANALITIKA EU PROJEKATA'!$P$3:$P$501,"=329")</f>
        <v>40000</v>
      </c>
      <c r="H14" s="138">
        <f>SUMIFS('Plan rashoda za unos u SAP'!$I$3:$I$501,'Plan rashoda za unos u SAP'!$C$3:$C$501,"=41",'Plan rashoda za unos u SAP'!$M$3:$M$501,"=329")+SUMIFS('ANALITIKA EU PROJEKATA'!$G$3:$G$501,'ANALITIKA EU PROJEKATA'!$A$3:$A$501,"=41",'ANALITIKA EU PROJEKATA'!$P$3:$P$501,"=329")</f>
        <v>0</v>
      </c>
      <c r="I14" s="138">
        <f>SUMIFS('Plan rashoda za unos u SAP'!$I$3:$I$501,'Plan rashoda za unos u SAP'!$C$3:$C$501,"=43",'Plan rashoda za unos u SAP'!$M$3:$M$501,"=329")+SUMIFS('ANALITIKA EU PROJEKATA'!$G$3:$G$501,'ANALITIKA EU PROJEKATA'!$A$3:$A$501,"=43",'ANALITIKA EU PROJEKATA'!$P$3:$P$501,"=329")</f>
        <v>279000</v>
      </c>
      <c r="J14" s="138">
        <f>SUMIFS('Plan rashoda za unos u SAP'!$I$3:$I$501,'Plan rashoda za unos u SAP'!$C$3:$C$501,"=51",'Plan rashoda za unos u SAP'!$M$3:$M$501,"=329")+SUMIFS('ANALITIKA EU PROJEKATA'!$G$3:$G$501,'ANALITIKA EU PROJEKATA'!$A$3:$A$501,"=51",'ANALITIKA EU PROJEKATA'!$P$3:$P$501,"=329")</f>
        <v>2070</v>
      </c>
      <c r="K14" s="138">
        <f>SUMIFS('Plan rashoda za unos u SAP'!$I$3:$I$501,'Plan rashoda za unos u SAP'!$C$3:$C$501,"=52",'Plan rashoda za unos u SAP'!$M$3:$M$501,"=329")+SUMIFS('ANALITIKA EU PROJEKATA'!$G$3:$G$501,'ANALITIKA EU PROJEKATA'!$A$3:$A$501,"=52",'ANALITIKA EU PROJEKATA'!$P$3:$P$501,"=329")</f>
        <v>25421</v>
      </c>
      <c r="L14" s="138">
        <f>SUMIFS('Plan rashoda za unos u SAP'!$I$3:$I$501,'Plan rashoda za unos u SAP'!$C$3:$C$501,"=552",'Plan rashoda za unos u SAP'!$M$3:$M$501,"=329")+SUMIFS('ANALITIKA EU PROJEKATA'!$G$3:$G$501,'ANALITIKA EU PROJEKATA'!$A$3:$A$501,"=552",'ANALITIKA EU PROJEKATA'!$P$3:$P$501,"=329")</f>
        <v>0</v>
      </c>
      <c r="M14" s="138">
        <f>SUMIFS('Plan rashoda za unos u SAP'!$I$3:$I$501,'Plan rashoda za unos u SAP'!$C$3:$C$501,"=559",'Plan rashoda za unos u SAP'!$M$3:$M$501,"=329")+SUMIFS('ANALITIKA EU PROJEKATA'!$G$3:$G$501,'ANALITIKA EU PROJEKATA'!$A$3:$A$501,"=559",'ANALITIKA EU PROJEKATA'!$P$3:$P$501,"=329")</f>
        <v>0</v>
      </c>
      <c r="N14" s="138">
        <f>SUMIFS('Plan rashoda za unos u SAP'!$I$3:$I$501,'Plan rashoda za unos u SAP'!$C$3:$C$501,"=561",'Plan rashoda za unos u SAP'!$M$3:$M$501,"=329")+SUMIFS('ANALITIKA EU PROJEKATA'!$G$3:$G$501,'ANALITIKA EU PROJEKATA'!$A$3:$A$501,"=561",'ANALITIKA EU PROJEKATA'!$P$3:$P$501,"=329")</f>
        <v>0</v>
      </c>
      <c r="O14" s="138">
        <f>SUMIFS('Plan rashoda za unos u SAP'!$I$3:$I$501,'Plan rashoda za unos u SAP'!$C$3:$C$501,"=563",'Plan rashoda za unos u SAP'!$M$3:$M$501,"=329")+SUMIFS('ANALITIKA EU PROJEKATA'!$G$3:$G$501,'ANALITIKA EU PROJEKATA'!$A$3:$A$501,"=563",'ANALITIKA EU PROJEKATA'!$P$3:$P$501,"=329")</f>
        <v>0</v>
      </c>
      <c r="P14" s="138">
        <f>SUMIFS('Plan rashoda za unos u SAP'!$I$3:$I$501,'Plan rashoda za unos u SAP'!$C$3:$C$501,"=573",'Plan rashoda za unos u SAP'!$M$3:$M$501,"=329")+SUMIFS('ANALITIKA EU PROJEKATA'!$G$3:$G$501,'ANALITIKA EU PROJEKATA'!$A$3:$A$501,"=573",'ANALITIKA EU PROJEKATA'!$P$3:$P$501,"=329")</f>
        <v>0</v>
      </c>
      <c r="Q14" s="138">
        <f>SUMIFS('Plan rashoda za unos u SAP'!$I$3:$I$501,'Plan rashoda za unos u SAP'!$C$3:$C$501,"=575",'Plan rashoda za unos u SAP'!$M$3:$M$501,"=329")+SUMIFS('ANALITIKA EU PROJEKATA'!$G$3:$G$501,'ANALITIKA EU PROJEKATA'!$A$3:$A$501,"=575",'ANALITIKA EU PROJEKATA'!$P$3:$P$501,"=329")</f>
        <v>0</v>
      </c>
      <c r="R14" s="138">
        <f>SUMIFS('Plan rashoda za unos u SAP'!$I$3:$I$501,'Plan rashoda za unos u SAP'!$C$3:$C$501,"=576",'Plan rashoda za unos u SAP'!$M$3:$M$501,"=329")+SUMIFS('ANALITIKA EU PROJEKATA'!$G$3:$G$501,'ANALITIKA EU PROJEKATA'!$A$3:$A$501,"=576",'ANALITIKA EU PROJEKATA'!$P$3:$P$501,"=329")</f>
        <v>0</v>
      </c>
      <c r="S14" s="138">
        <f>SUMIFS('Plan rashoda za unos u SAP'!$I$3:$I$501,'Plan rashoda za unos u SAP'!$C$3:$C$501,"=581",'Plan rashoda za unos u SAP'!$M$3:$M$501,"=329")+SUMIFS('ANALITIKA EU PROJEKATA'!$G$3:$G$501,'ANALITIKA EU PROJEKATA'!$A$3:$A$501,"=581",'ANALITIKA EU PROJEKATA'!$P$3:$P$501,"=329")</f>
        <v>0</v>
      </c>
      <c r="T14" s="138">
        <f>SUMIFS('Plan rashoda za unos u SAP'!$I$3:$I$501,'Plan rashoda za unos u SAP'!$C$3:$C$501,"=61",'Plan rashoda za unos u SAP'!$M$3:$M$501,"=329")+SUMIFS('ANALITIKA EU PROJEKATA'!$G$3:$G$501,'ANALITIKA EU PROJEKATA'!$A$3:$A$501,"=61",'ANALITIKA EU PROJEKATA'!$P$3:$P$501,"=329")</f>
        <v>5000</v>
      </c>
      <c r="U14" s="138">
        <f>SUMIFS('Plan rashoda za unos u SAP'!$I$3:$I$501,'Plan rashoda za unos u SAP'!$C$3:$C$501,"=63",'Plan rashoda za unos u SAP'!$M$3:$M$501,"=329")+SUMIFS('ANALITIKA EU PROJEKATA'!$G$3:$G$501,'ANALITIKA EU PROJEKATA'!$A$3:$A$501,"=63",'ANALITIKA EU PROJEKATA'!$P$3:$P$501,"=329")</f>
        <v>0</v>
      </c>
      <c r="V14" s="138">
        <f>SUMIFS('Plan rashoda za unos u SAP'!$I$3:$I$501,'Plan rashoda za unos u SAP'!$C$3:$C$501,"=71",'Plan rashoda za unos u SAP'!$M$3:$M$501,"=329")+SUMIFS('ANALITIKA EU PROJEKATA'!$G$3:$G$501,'ANALITIKA EU PROJEKATA'!$A$3:$A$501,"=71",'ANALITIKA EU PROJEKATA'!$P$3:$P$501,"=329")</f>
        <v>0</v>
      </c>
      <c r="W14" s="138">
        <f>SUMIFS('Plan rashoda za unos u SAP'!$I$3:$I$501,'Plan rashoda za unos u SAP'!$C$3:$C$501,"=81",'Plan rashoda za unos u SAP'!$M$3:$M$501,"=329")+SUMIFS('ANALITIKA EU PROJEKATA'!$G$3:$G$501,'ANALITIKA EU PROJEKATA'!$A$3:$A$501,"=81",'ANALITIKA EU PROJEKATA'!$P$3:$P$501,"=329")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207</v>
      </c>
      <c r="D15" s="4">
        <f t="shared" si="0"/>
        <v>142000</v>
      </c>
      <c r="E15" s="4">
        <f t="shared" ref="E15:W15" si="5">SUM(E16:E18)</f>
        <v>0</v>
      </c>
      <c r="F15" s="4">
        <f t="shared" si="5"/>
        <v>0</v>
      </c>
      <c r="G15" s="4">
        <f t="shared" si="5"/>
        <v>4000</v>
      </c>
      <c r="H15" s="4">
        <f>SUM(H16:H18)</f>
        <v>0</v>
      </c>
      <c r="I15" s="4">
        <f t="shared" si="5"/>
        <v>138000</v>
      </c>
      <c r="J15" s="4">
        <f t="shared" si="5"/>
        <v>0</v>
      </c>
      <c r="K15" s="4">
        <f t="shared" si="5"/>
        <v>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>SUM(S16:S18)</f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319</v>
      </c>
      <c r="D16" s="14">
        <f t="shared" si="0"/>
        <v>0</v>
      </c>
      <c r="E16" s="138">
        <f>SUMIFS('Plan rashoda za unos u SAP'!$I$3:$I$501,'Plan rashoda za unos u SAP'!$C$3:$C$501,"=11",'Plan rashoda za unos u SAP'!$M$3:$M$501,"=341")+SUMIFS('ANALITIKA EU PROJEKATA'!$G$3:$G$501,'ANALITIKA EU PROJEKATA'!$A$3:$A$501,"=11",'ANALITIKA EU PROJEKATA'!$P$3:$P$501,"=341")</f>
        <v>0</v>
      </c>
      <c r="F16" s="138">
        <f>SUMIFS('Plan rashoda za unos u SAP'!$I$3:$I$501,'Plan rashoda za unos u SAP'!$C$3:$C$501,"=12",'Plan rashoda za unos u SAP'!$M$3:$M$501,"=341")+SUMIFS('ANALITIKA EU PROJEKATA'!$G$3:$G$501,'ANALITIKA EU PROJEKATA'!$A$3:$A$501,"=12",'ANALITIKA EU PROJEKATA'!$P$3:$P$501,"=341")</f>
        <v>0</v>
      </c>
      <c r="G16" s="138">
        <f>SUMIFS('Plan rashoda za unos u SAP'!$I$3:$I$501,'Plan rashoda za unos u SAP'!$C$3:$C$501,"=31",'Plan rashoda za unos u SAP'!$M$3:$M$501,"=341")+SUMIFS('ANALITIKA EU PROJEKATA'!$G$3:$G$501,'ANALITIKA EU PROJEKATA'!$A$3:$A$501,"=31",'ANALITIKA EU PROJEKATA'!$P$3:$P$501,"=341")</f>
        <v>0</v>
      </c>
      <c r="H16" s="138">
        <f>SUMIFS('Plan rashoda za unos u SAP'!$I$3:$I$501,'Plan rashoda za unos u SAP'!$C$3:$C$501,"=41",'Plan rashoda za unos u SAP'!$M$3:$M$501,"=341")+SUMIFS('ANALITIKA EU PROJEKATA'!$G$3:$G$501,'ANALITIKA EU PROJEKATA'!$A$3:$A$501,"=41",'ANALITIKA EU PROJEKATA'!$P$3:$P$501,"=341")</f>
        <v>0</v>
      </c>
      <c r="I16" s="138">
        <f>SUMIFS('Plan rashoda za unos u SAP'!$I$3:$I$501,'Plan rashoda za unos u SAP'!$C$3:$C$501,"=43",'Plan rashoda za unos u SAP'!$M$3:$M$501,"=341")+SUMIFS('ANALITIKA EU PROJEKATA'!$G$3:$G$501,'ANALITIKA EU PROJEKATA'!$A$3:$A$501,"=43",'ANALITIKA EU PROJEKATA'!$P$3:$P$501,"=341")</f>
        <v>0</v>
      </c>
      <c r="J16" s="138">
        <f>SUMIFS('Plan rashoda za unos u SAP'!$I$3:$I$501,'Plan rashoda za unos u SAP'!$C$3:$C$501,"=51",'Plan rashoda za unos u SAP'!$M$3:$M$501,"=341")+SUMIFS('ANALITIKA EU PROJEKATA'!$G$3:$G$501,'ANALITIKA EU PROJEKATA'!$A$3:$A$501,"=51",'ANALITIKA EU PROJEKATA'!$P$3:$P$501,"=341")</f>
        <v>0</v>
      </c>
      <c r="K16" s="138">
        <f>SUMIFS('Plan rashoda za unos u SAP'!$I$3:$I$501,'Plan rashoda za unos u SAP'!$C$3:$C$501,"=52",'Plan rashoda za unos u SAP'!$M$3:$M$501,"=341")+SUMIFS('ANALITIKA EU PROJEKATA'!$G$3:$G$501,'ANALITIKA EU PROJEKATA'!$A$3:$A$501,"=52",'ANALITIKA EU PROJEKATA'!$P$3:$P$501,"=341")</f>
        <v>0</v>
      </c>
      <c r="L16" s="138">
        <f>SUMIFS('Plan rashoda za unos u SAP'!$I$3:$I$501,'Plan rashoda za unos u SAP'!$C$3:$C$501,"=552",'Plan rashoda za unos u SAP'!$M$3:$M$501,"=341")+SUMIFS('ANALITIKA EU PROJEKATA'!$G$3:$G$501,'ANALITIKA EU PROJEKATA'!$A$3:$A$501,"=552",'ANALITIKA EU PROJEKATA'!$P$3:$P$501,"=341")</f>
        <v>0</v>
      </c>
      <c r="M16" s="138">
        <f>SUMIFS('Plan rashoda za unos u SAP'!$I$3:$I$501,'Plan rashoda za unos u SAP'!$C$3:$C$501,"=559",'Plan rashoda za unos u SAP'!$M$3:$M$501,"=341")+SUMIFS('ANALITIKA EU PROJEKATA'!$G$3:$G$501,'ANALITIKA EU PROJEKATA'!$A$3:$A$501,"=559",'ANALITIKA EU PROJEKATA'!$P$3:$P$501,"=341")</f>
        <v>0</v>
      </c>
      <c r="N16" s="138">
        <f>SUMIFS('Plan rashoda za unos u SAP'!$I$3:$I$501,'Plan rashoda za unos u SAP'!$C$3:$C$501,"=561",'Plan rashoda za unos u SAP'!$M$3:$M$501,"=341")+SUMIFS('ANALITIKA EU PROJEKATA'!$G$3:$G$501,'ANALITIKA EU PROJEKATA'!$A$3:$A$501,"=561",'ANALITIKA EU PROJEKATA'!$P$3:$P$501,"=341")</f>
        <v>0</v>
      </c>
      <c r="O16" s="138">
        <f>SUMIFS('Plan rashoda za unos u SAP'!$I$3:$I$501,'Plan rashoda za unos u SAP'!$C$3:$C$501,"=563",'Plan rashoda za unos u SAP'!$M$3:$M$501,"=341")+SUMIFS('ANALITIKA EU PROJEKATA'!$G$3:$G$501,'ANALITIKA EU PROJEKATA'!$A$3:$A$501,"=563",'ANALITIKA EU PROJEKATA'!$P$3:$P$501,"=341")</f>
        <v>0</v>
      </c>
      <c r="P16" s="138">
        <f>SUMIFS('Plan rashoda za unos u SAP'!$I$3:$I$501,'Plan rashoda za unos u SAP'!$C$3:$C$501,"=573",'Plan rashoda za unos u SAP'!$M$3:$M$501,"=341")+SUMIFS('ANALITIKA EU PROJEKATA'!$G$3:$G$501,'ANALITIKA EU PROJEKATA'!$A$3:$A$501,"=573",'ANALITIKA EU PROJEKATA'!$P$3:$P$501,"=341")</f>
        <v>0</v>
      </c>
      <c r="Q16" s="138">
        <f>SUMIFS('Plan rashoda za unos u SAP'!$I$3:$I$501,'Plan rashoda za unos u SAP'!$C$3:$C$501,"=575",'Plan rashoda za unos u SAP'!$M$3:$M$501,"=341")+SUMIFS('ANALITIKA EU PROJEKATA'!$G$3:$G$501,'ANALITIKA EU PROJEKATA'!$A$3:$A$501,"=575",'ANALITIKA EU PROJEKATA'!$P$3:$P$501,"=341")</f>
        <v>0</v>
      </c>
      <c r="R16" s="138">
        <f>SUMIFS('Plan rashoda za unos u SAP'!$I$3:$I$501,'Plan rashoda za unos u SAP'!$C$3:$C$501,"=576",'Plan rashoda za unos u SAP'!$M$3:$M$501,"=341")+SUMIFS('ANALITIKA EU PROJEKATA'!$G$3:$G$501,'ANALITIKA EU PROJEKATA'!$A$3:$A$501,"=576",'ANALITIKA EU PROJEKATA'!$P$3:$P$501,"=341")</f>
        <v>0</v>
      </c>
      <c r="S16" s="138">
        <f>SUMIFS('Plan rashoda za unos u SAP'!$I$3:$I$501,'Plan rashoda za unos u SAP'!$C$3:$C$501,"=581",'Plan rashoda za unos u SAP'!$M$3:$M$501,"=341")+SUMIFS('ANALITIKA EU PROJEKATA'!$G$3:$G$501,'ANALITIKA EU PROJEKATA'!$A$3:$A$501,"=581",'ANALITIKA EU PROJEKATA'!$P$3:$P$501,"=341")</f>
        <v>0</v>
      </c>
      <c r="T16" s="138">
        <f>SUMIFS('Plan rashoda za unos u SAP'!$I$3:$I$501,'Plan rashoda za unos u SAP'!$C$3:$C$501,"=61",'Plan rashoda za unos u SAP'!$M$3:$M$501,"=341")+SUMIFS('ANALITIKA EU PROJEKATA'!$G$3:$G$501,'ANALITIKA EU PROJEKATA'!$A$3:$A$501,"=61",'ANALITIKA EU PROJEKATA'!$P$3:$P$501,"=341")</f>
        <v>0</v>
      </c>
      <c r="U16" s="138">
        <f>SUMIFS('Plan rashoda za unos u SAP'!$I$3:$I$501,'Plan rashoda za unos u SAP'!$C$3:$C$501,"=63",'Plan rashoda za unos u SAP'!$M$3:$M$501,"=341")+SUMIFS('ANALITIKA EU PROJEKATA'!$G$3:$G$501,'ANALITIKA EU PROJEKATA'!$A$3:$A$501,"=63",'ANALITIKA EU PROJEKATA'!$P$3:$P$501,"=341")</f>
        <v>0</v>
      </c>
      <c r="V16" s="138">
        <f>SUMIFS('Plan rashoda za unos u SAP'!$I$3:$I$501,'Plan rashoda za unos u SAP'!$C$3:$C$501,"=71",'Plan rashoda za unos u SAP'!$M$3:$M$501,"=341")+SUMIFS('ANALITIKA EU PROJEKATA'!$G$3:$G$501,'ANALITIKA EU PROJEKATA'!$A$3:$A$501,"=71",'ANALITIKA EU PROJEKATA'!$P$3:$P$501,"=341")</f>
        <v>0</v>
      </c>
      <c r="W16" s="138">
        <f>SUMIFS('Plan rashoda za unos u SAP'!$I$3:$I$501,'Plan rashoda za unos u SAP'!$C$3:$C$501,"=81",'Plan rashoda za unos u SAP'!$M$3:$M$501,"=341")+SUMIFS('ANALITIKA EU PROJEKATA'!$G$3:$G$501,'ANALITIKA EU PROJEKATA'!$A$3:$A$501,"=81",'ANALITIKA EU PROJEKATA'!$P$3:$P$501,"=341")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320</v>
      </c>
      <c r="D17" s="14">
        <f t="shared" si="0"/>
        <v>0</v>
      </c>
      <c r="E17" s="138">
        <f>SUMIFS('Plan rashoda za unos u SAP'!$I$3:$I$501,'Plan rashoda za unos u SAP'!$C$3:$C$501,"=11",'Plan rashoda za unos u SAP'!$M$3:$M$501,"=342")+SUMIFS('ANALITIKA EU PROJEKATA'!$G$3:$G$501,'ANALITIKA EU PROJEKATA'!$A$3:$A$501,"=11",'ANALITIKA EU PROJEKATA'!$P$3:$P$501,"=342")</f>
        <v>0</v>
      </c>
      <c r="F17" s="138">
        <f>SUMIFS('Plan rashoda za unos u SAP'!$I$3:$I$501,'Plan rashoda za unos u SAP'!$C$3:$C$501,"=12",'Plan rashoda za unos u SAP'!$M$3:$M$501,"=342")+SUMIFS('ANALITIKA EU PROJEKATA'!$G$3:$G$501,'ANALITIKA EU PROJEKATA'!$A$3:$A$501,"=12",'ANALITIKA EU PROJEKATA'!$P$3:$P$501,"=342")</f>
        <v>0</v>
      </c>
      <c r="G17" s="138">
        <f>SUMIFS('Plan rashoda za unos u SAP'!$I$3:$I$501,'Plan rashoda za unos u SAP'!$C$3:$C$501,"=31",'Plan rashoda za unos u SAP'!$M$3:$M$501,"=342")+SUMIFS('ANALITIKA EU PROJEKATA'!$G$3:$G$501,'ANALITIKA EU PROJEKATA'!$A$3:$A$501,"=31",'ANALITIKA EU PROJEKATA'!$P$3:$P$501,"=342")</f>
        <v>0</v>
      </c>
      <c r="H17" s="138">
        <f>SUMIFS('Plan rashoda za unos u SAP'!$I$3:$I$501,'Plan rashoda za unos u SAP'!$C$3:$C$501,"=41",'Plan rashoda za unos u SAP'!$M$3:$M$501,"=342")+SUMIFS('ANALITIKA EU PROJEKATA'!$G$3:$G$501,'ANALITIKA EU PROJEKATA'!$A$3:$A$501,"=41",'ANALITIKA EU PROJEKATA'!$P$3:$P$501,"=342")</f>
        <v>0</v>
      </c>
      <c r="I17" s="138">
        <f>SUMIFS('Plan rashoda za unos u SAP'!$I$3:$I$501,'Plan rashoda za unos u SAP'!$C$3:$C$501,"=43",'Plan rashoda za unos u SAP'!$M$3:$M$501,"=342")+SUMIFS('ANALITIKA EU PROJEKATA'!$G$3:$G$501,'ANALITIKA EU PROJEKATA'!$A$3:$A$501,"=43",'ANALITIKA EU PROJEKATA'!$P$3:$P$501,"=342")</f>
        <v>0</v>
      </c>
      <c r="J17" s="138">
        <f>SUMIFS('Plan rashoda za unos u SAP'!$I$3:$I$501,'Plan rashoda za unos u SAP'!$C$3:$C$501,"=51",'Plan rashoda za unos u SAP'!$M$3:$M$501,"=342")+SUMIFS('ANALITIKA EU PROJEKATA'!$G$3:$G$501,'ANALITIKA EU PROJEKATA'!$A$3:$A$501,"=51",'ANALITIKA EU PROJEKATA'!$P$3:$P$501,"=342")</f>
        <v>0</v>
      </c>
      <c r="K17" s="138">
        <f>SUMIFS('Plan rashoda za unos u SAP'!$I$3:$I$501,'Plan rashoda za unos u SAP'!$C$3:$C$501,"=52",'Plan rashoda za unos u SAP'!$M$3:$M$501,"=342")+SUMIFS('ANALITIKA EU PROJEKATA'!$G$3:$G$501,'ANALITIKA EU PROJEKATA'!$A$3:$A$501,"=52",'ANALITIKA EU PROJEKATA'!$P$3:$P$501,"=342")</f>
        <v>0</v>
      </c>
      <c r="L17" s="138">
        <f>SUMIFS('Plan rashoda za unos u SAP'!$I$3:$I$501,'Plan rashoda za unos u SAP'!$C$3:$C$501,"=552",'Plan rashoda za unos u SAP'!$M$3:$M$501,"=342")+SUMIFS('ANALITIKA EU PROJEKATA'!$G$3:$G$501,'ANALITIKA EU PROJEKATA'!$A$3:$A$501,"=552",'ANALITIKA EU PROJEKATA'!$P$3:$P$501,"=342")</f>
        <v>0</v>
      </c>
      <c r="M17" s="138">
        <f>SUMIFS('Plan rashoda za unos u SAP'!$I$3:$I$501,'Plan rashoda za unos u SAP'!$C$3:$C$501,"=559",'Plan rashoda za unos u SAP'!$M$3:$M$501,"=342")+SUMIFS('ANALITIKA EU PROJEKATA'!$G$3:$G$501,'ANALITIKA EU PROJEKATA'!$A$3:$A$501,"=559",'ANALITIKA EU PROJEKATA'!$P$3:$P$501,"=342")</f>
        <v>0</v>
      </c>
      <c r="N17" s="138">
        <f>SUMIFS('Plan rashoda za unos u SAP'!$I$3:$I$501,'Plan rashoda za unos u SAP'!$C$3:$C$501,"=561",'Plan rashoda za unos u SAP'!$M$3:$M$501,"=342")+SUMIFS('ANALITIKA EU PROJEKATA'!$G$3:$G$501,'ANALITIKA EU PROJEKATA'!$A$3:$A$501,"=561",'ANALITIKA EU PROJEKATA'!$P$3:$P$501,"=342")</f>
        <v>0</v>
      </c>
      <c r="O17" s="138">
        <f>SUMIFS('Plan rashoda za unos u SAP'!$I$3:$I$501,'Plan rashoda za unos u SAP'!$C$3:$C$501,"=563",'Plan rashoda za unos u SAP'!$M$3:$M$501,"=342")+SUMIFS('ANALITIKA EU PROJEKATA'!$G$3:$G$501,'ANALITIKA EU PROJEKATA'!$A$3:$A$501,"=563",'ANALITIKA EU PROJEKATA'!$P$3:$P$501,"=342")</f>
        <v>0</v>
      </c>
      <c r="P17" s="138">
        <f>SUMIFS('Plan rashoda za unos u SAP'!$I$3:$I$501,'Plan rashoda za unos u SAP'!$C$3:$C$501,"=573",'Plan rashoda za unos u SAP'!$M$3:$M$501,"=342")+SUMIFS('ANALITIKA EU PROJEKATA'!$G$3:$G$501,'ANALITIKA EU PROJEKATA'!$A$3:$A$501,"=573",'ANALITIKA EU PROJEKATA'!$P$3:$P$501,"=342")</f>
        <v>0</v>
      </c>
      <c r="Q17" s="138">
        <f>SUMIFS('Plan rashoda za unos u SAP'!$I$3:$I$501,'Plan rashoda za unos u SAP'!$C$3:$C$501,"=575",'Plan rashoda za unos u SAP'!$M$3:$M$501,"=342")+SUMIFS('ANALITIKA EU PROJEKATA'!$G$3:$G$501,'ANALITIKA EU PROJEKATA'!$A$3:$A$501,"=575",'ANALITIKA EU PROJEKATA'!$P$3:$P$501,"=342")</f>
        <v>0</v>
      </c>
      <c r="R17" s="138">
        <f>SUMIFS('Plan rashoda za unos u SAP'!$I$3:$I$501,'Plan rashoda za unos u SAP'!$C$3:$C$501,"=576",'Plan rashoda za unos u SAP'!$M$3:$M$501,"=342")+SUMIFS('ANALITIKA EU PROJEKATA'!$G$3:$G$501,'ANALITIKA EU PROJEKATA'!$A$3:$A$501,"=576",'ANALITIKA EU PROJEKATA'!$P$3:$P$501,"=342")</f>
        <v>0</v>
      </c>
      <c r="S17" s="138">
        <f>SUMIFS('Plan rashoda za unos u SAP'!$I$3:$I$501,'Plan rashoda za unos u SAP'!$C$3:$C$501,"=581",'Plan rashoda za unos u SAP'!$M$3:$M$501,"=342")+SUMIFS('ANALITIKA EU PROJEKATA'!$G$3:$G$501,'ANALITIKA EU PROJEKATA'!$A$3:$A$501,"=581",'ANALITIKA EU PROJEKATA'!$P$3:$P$501,"=342")</f>
        <v>0</v>
      </c>
      <c r="T17" s="138">
        <f>SUMIFS('Plan rashoda za unos u SAP'!$I$3:$I$501,'Plan rashoda za unos u SAP'!$C$3:$C$501,"=61",'Plan rashoda za unos u SAP'!$M$3:$M$501,"=342")+SUMIFS('ANALITIKA EU PROJEKATA'!$G$3:$G$501,'ANALITIKA EU PROJEKATA'!$A$3:$A$501,"=61",'ANALITIKA EU PROJEKATA'!$P$3:$P$501,"=342")</f>
        <v>0</v>
      </c>
      <c r="U17" s="138">
        <f>SUMIFS('Plan rashoda za unos u SAP'!$I$3:$I$501,'Plan rashoda za unos u SAP'!$C$3:$C$501,"=63",'Plan rashoda za unos u SAP'!$M$3:$M$501,"=342")+SUMIFS('ANALITIKA EU PROJEKATA'!$G$3:$G$501,'ANALITIKA EU PROJEKATA'!$A$3:$A$501,"=63",'ANALITIKA EU PROJEKATA'!$P$3:$P$501,"=342")</f>
        <v>0</v>
      </c>
      <c r="V17" s="138">
        <f>SUMIFS('Plan rashoda za unos u SAP'!$I$3:$I$501,'Plan rashoda za unos u SAP'!$C$3:$C$501,"=71",'Plan rashoda za unos u SAP'!$M$3:$M$501,"=342")+SUMIFS('ANALITIKA EU PROJEKATA'!$G$3:$G$501,'ANALITIKA EU PROJEKATA'!$A$3:$A$501,"=71",'ANALITIKA EU PROJEKATA'!$P$3:$P$501,"=342")</f>
        <v>0</v>
      </c>
      <c r="W17" s="138">
        <f>SUMIFS('Plan rashoda za unos u SAP'!$I$3:$I$501,'Plan rashoda za unos u SAP'!$C$3:$C$501,"=81",'Plan rashoda za unos u SAP'!$M$3:$M$501,"=342")+SUMIFS('ANALITIKA EU PROJEKATA'!$G$3:$G$501,'ANALITIKA EU PROJEKATA'!$A$3:$A$501,"=81",'ANALITIKA EU PROJEKATA'!$P$3:$P$501,"=342")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208</v>
      </c>
      <c r="D18" s="14">
        <f t="shared" si="0"/>
        <v>142000</v>
      </c>
      <c r="E18" s="138">
        <f>SUMIFS('Plan rashoda za unos u SAP'!$I$3:$I$501,'Plan rashoda za unos u SAP'!$C$3:$C$501,"=11",'Plan rashoda za unos u SAP'!$M$3:$M$501,"=343")+SUMIFS('ANALITIKA EU PROJEKATA'!$G$3:$G$501,'ANALITIKA EU PROJEKATA'!$A$3:$A$501,"=11",'ANALITIKA EU PROJEKATA'!$P$3:$P$501,"=343")</f>
        <v>0</v>
      </c>
      <c r="F18" s="138">
        <f>SUMIFS('Plan rashoda za unos u SAP'!$I$3:$I$501,'Plan rashoda za unos u SAP'!$C$3:$C$501,"=12",'Plan rashoda za unos u SAP'!$M$3:$M$501,"=343")+SUMIFS('ANALITIKA EU PROJEKATA'!$G$3:$G$501,'ANALITIKA EU PROJEKATA'!$A$3:$A$501,"=12",'ANALITIKA EU PROJEKATA'!$P$3:$P$501,"=343")</f>
        <v>0</v>
      </c>
      <c r="G18" s="138">
        <f>SUMIFS('Plan rashoda za unos u SAP'!$I$3:$I$501,'Plan rashoda za unos u SAP'!$C$3:$C$501,"=31",'Plan rashoda za unos u SAP'!$M$3:$M$501,"=343")+SUMIFS('ANALITIKA EU PROJEKATA'!$G$3:$G$501,'ANALITIKA EU PROJEKATA'!$A$3:$A$501,"=31",'ANALITIKA EU PROJEKATA'!$P$3:$P$501,"=343")</f>
        <v>4000</v>
      </c>
      <c r="H18" s="138">
        <f>SUMIFS('Plan rashoda za unos u SAP'!$I$3:$I$501,'Plan rashoda za unos u SAP'!$C$3:$C$501,"=41",'Plan rashoda za unos u SAP'!$M$3:$M$501,"=343")+SUMIFS('ANALITIKA EU PROJEKATA'!$G$3:$G$501,'ANALITIKA EU PROJEKATA'!$A$3:$A$501,"=41",'ANALITIKA EU PROJEKATA'!$P$3:$P$501,"=343")</f>
        <v>0</v>
      </c>
      <c r="I18" s="138">
        <f>SUMIFS('Plan rashoda za unos u SAP'!$I$3:$I$501,'Plan rashoda za unos u SAP'!$C$3:$C$501,"=43",'Plan rashoda za unos u SAP'!$M$3:$M$501,"=343")+SUMIFS('ANALITIKA EU PROJEKATA'!$G$3:$G$501,'ANALITIKA EU PROJEKATA'!$A$3:$A$501,"=43",'ANALITIKA EU PROJEKATA'!$P$3:$P$501,"=343")</f>
        <v>138000</v>
      </c>
      <c r="J18" s="138">
        <f>SUMIFS('Plan rashoda za unos u SAP'!$I$3:$I$501,'Plan rashoda za unos u SAP'!$C$3:$C$501,"=51",'Plan rashoda za unos u SAP'!$M$3:$M$501,"=343")+SUMIFS('ANALITIKA EU PROJEKATA'!$G$3:$G$501,'ANALITIKA EU PROJEKATA'!$A$3:$A$501,"=51",'ANALITIKA EU PROJEKATA'!$P$3:$P$501,"=343")</f>
        <v>0</v>
      </c>
      <c r="K18" s="138">
        <f>SUMIFS('Plan rashoda za unos u SAP'!$I$3:$I$501,'Plan rashoda za unos u SAP'!$C$3:$C$501,"=52",'Plan rashoda za unos u SAP'!$M$3:$M$501,"=343")+SUMIFS('ANALITIKA EU PROJEKATA'!$G$3:$G$501,'ANALITIKA EU PROJEKATA'!$A$3:$A$501,"=52",'ANALITIKA EU PROJEKATA'!$P$3:$P$501,"=343")</f>
        <v>0</v>
      </c>
      <c r="L18" s="138">
        <f>SUMIFS('Plan rashoda za unos u SAP'!$I$3:$I$501,'Plan rashoda za unos u SAP'!$C$3:$C$501,"=552",'Plan rashoda za unos u SAP'!$M$3:$M$501,"=343")+SUMIFS('ANALITIKA EU PROJEKATA'!$G$3:$G$501,'ANALITIKA EU PROJEKATA'!$A$3:$A$501,"=552",'ANALITIKA EU PROJEKATA'!$P$3:$P$501,"=343")</f>
        <v>0</v>
      </c>
      <c r="M18" s="138">
        <f>SUMIFS('Plan rashoda za unos u SAP'!$I$3:$I$501,'Plan rashoda za unos u SAP'!$C$3:$C$501,"=559",'Plan rashoda za unos u SAP'!$M$3:$M$501,"=343")+SUMIFS('ANALITIKA EU PROJEKATA'!$G$3:$G$501,'ANALITIKA EU PROJEKATA'!$A$3:$A$501,"=559",'ANALITIKA EU PROJEKATA'!$P$3:$P$501,"=343")</f>
        <v>0</v>
      </c>
      <c r="N18" s="138">
        <f>SUMIFS('Plan rashoda za unos u SAP'!$I$3:$I$501,'Plan rashoda za unos u SAP'!$C$3:$C$501,"=561",'Plan rashoda za unos u SAP'!$M$3:$M$501,"=343")+SUMIFS('ANALITIKA EU PROJEKATA'!$G$3:$G$501,'ANALITIKA EU PROJEKATA'!$A$3:$A$501,"=561",'ANALITIKA EU PROJEKATA'!$P$3:$P$501,"=343")</f>
        <v>0</v>
      </c>
      <c r="O18" s="138">
        <f>SUMIFS('Plan rashoda za unos u SAP'!$I$3:$I$501,'Plan rashoda za unos u SAP'!$C$3:$C$501,"=563",'Plan rashoda za unos u SAP'!$M$3:$M$501,"=343")+SUMIFS('ANALITIKA EU PROJEKATA'!$G$3:$G$501,'ANALITIKA EU PROJEKATA'!$A$3:$A$501,"=563",'ANALITIKA EU PROJEKATA'!$P$3:$P$501,"=343")</f>
        <v>0</v>
      </c>
      <c r="P18" s="138">
        <f>SUMIFS('Plan rashoda za unos u SAP'!$I$3:$I$501,'Plan rashoda za unos u SAP'!$C$3:$C$501,"=573",'Plan rashoda za unos u SAP'!$M$3:$M$501,"=343")+SUMIFS('ANALITIKA EU PROJEKATA'!$G$3:$G$501,'ANALITIKA EU PROJEKATA'!$A$3:$A$501,"=573",'ANALITIKA EU PROJEKATA'!$P$3:$P$501,"=343")</f>
        <v>0</v>
      </c>
      <c r="Q18" s="138">
        <f>SUMIFS('Plan rashoda za unos u SAP'!$I$3:$I$501,'Plan rashoda za unos u SAP'!$C$3:$C$501,"=575",'Plan rashoda za unos u SAP'!$M$3:$M$501,"=343")+SUMIFS('ANALITIKA EU PROJEKATA'!$G$3:$G$501,'ANALITIKA EU PROJEKATA'!$A$3:$A$501,"=575",'ANALITIKA EU PROJEKATA'!$P$3:$P$501,"=343")</f>
        <v>0</v>
      </c>
      <c r="R18" s="138">
        <f>SUMIFS('Plan rashoda za unos u SAP'!$I$3:$I$501,'Plan rashoda za unos u SAP'!$C$3:$C$501,"=576",'Plan rashoda za unos u SAP'!$M$3:$M$501,"=343")+SUMIFS('ANALITIKA EU PROJEKATA'!$G$3:$G$501,'ANALITIKA EU PROJEKATA'!$A$3:$A$501,"=576",'ANALITIKA EU PROJEKATA'!$P$3:$P$501,"=343")</f>
        <v>0</v>
      </c>
      <c r="S18" s="138">
        <f>SUMIFS('Plan rashoda za unos u SAP'!$I$3:$I$501,'Plan rashoda za unos u SAP'!$C$3:$C$501,"=581",'Plan rashoda za unos u SAP'!$M$3:$M$501,"=343")+SUMIFS('ANALITIKA EU PROJEKATA'!$G$3:$G$501,'ANALITIKA EU PROJEKATA'!$A$3:$A$501,"=581",'ANALITIKA EU PROJEKATA'!$P$3:$P$501,"=343")</f>
        <v>0</v>
      </c>
      <c r="T18" s="138">
        <f>SUMIFS('Plan rashoda za unos u SAP'!$I$3:$I$501,'Plan rashoda za unos u SAP'!$C$3:$C$501,"=61",'Plan rashoda za unos u SAP'!$M$3:$M$501,"=343")+SUMIFS('ANALITIKA EU PROJEKATA'!$G$3:$G$501,'ANALITIKA EU PROJEKATA'!$A$3:$A$501,"=61",'ANALITIKA EU PROJEKATA'!$P$3:$P$501,"=343")</f>
        <v>0</v>
      </c>
      <c r="U18" s="138">
        <f>SUMIFS('Plan rashoda za unos u SAP'!$I$3:$I$501,'Plan rashoda za unos u SAP'!$C$3:$C$501,"=63",'Plan rashoda za unos u SAP'!$M$3:$M$501,"=343")+SUMIFS('ANALITIKA EU PROJEKATA'!$G$3:$G$501,'ANALITIKA EU PROJEKATA'!$A$3:$A$501,"=63",'ANALITIKA EU PROJEKATA'!$P$3:$P$501,"=343")</f>
        <v>0</v>
      </c>
      <c r="V18" s="138">
        <f>SUMIFS('Plan rashoda za unos u SAP'!$I$3:$I$501,'Plan rashoda za unos u SAP'!$C$3:$C$501,"=71",'Plan rashoda za unos u SAP'!$M$3:$M$501,"=343")+SUMIFS('ANALITIKA EU PROJEKATA'!$G$3:$G$501,'ANALITIKA EU PROJEKATA'!$A$3:$A$501,"=71",'ANALITIKA EU PROJEKATA'!$P$3:$P$501,"=343")</f>
        <v>0</v>
      </c>
      <c r="W18" s="138">
        <f>SUMIFS('Plan rashoda za unos u SAP'!$I$3:$I$501,'Plan rashoda za unos u SAP'!$C$3:$C$501,"=81",'Plan rashoda za unos u SAP'!$M$3:$M$501,"=343")+SUMIFS('ANALITIKA EU PROJEKATA'!$G$3:$G$501,'ANALITIKA EU PROJEKATA'!$A$3:$A$501,"=81",'ANALITIKA EU PROJEKATA'!$P$3:$P$501,"=343")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321</v>
      </c>
      <c r="D19" s="4">
        <f t="shared" si="0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>SUM(S20:S22)</f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185</v>
      </c>
      <c r="D20" s="14">
        <f t="shared" si="0"/>
        <v>0</v>
      </c>
      <c r="E20" s="138">
        <f>SUMIFS('Plan rashoda za unos u SAP'!$I$3:$I$501,'Plan rashoda za unos u SAP'!$C$3:$C$501,"=11",'Plan rashoda za unos u SAP'!$M$3:$M$501,"=351")+SUMIFS('ANALITIKA EU PROJEKATA'!$G$3:$G$501,'ANALITIKA EU PROJEKATA'!$A$3:$A$501,"=11",'ANALITIKA EU PROJEKATA'!$P$3:$P$501,"=351")</f>
        <v>0</v>
      </c>
      <c r="F20" s="138">
        <f>SUMIFS('Plan rashoda za unos u SAP'!$I$3:$I$501,'Plan rashoda za unos u SAP'!$C$3:$C$501,"=12",'Plan rashoda za unos u SAP'!$M$3:$M$501,"=351")+SUMIFS('ANALITIKA EU PROJEKATA'!$G$3:$G$501,'ANALITIKA EU PROJEKATA'!$A$3:$A$501,"=12",'ANALITIKA EU PROJEKATA'!$P$3:$P$501,"=351")</f>
        <v>0</v>
      </c>
      <c r="G20" s="138">
        <f>SUMIFS('Plan rashoda za unos u SAP'!$I$3:$I$501,'Plan rashoda za unos u SAP'!$C$3:$C$501,"=31",'Plan rashoda za unos u SAP'!$M$3:$M$501,"=351")+SUMIFS('ANALITIKA EU PROJEKATA'!$G$3:$G$501,'ANALITIKA EU PROJEKATA'!$A$3:$A$501,"=31",'ANALITIKA EU PROJEKATA'!$P$3:$P$501,"=351")</f>
        <v>0</v>
      </c>
      <c r="H20" s="138">
        <f>SUMIFS('Plan rashoda za unos u SAP'!$I$3:$I$501,'Plan rashoda za unos u SAP'!$C$3:$C$501,"=41",'Plan rashoda za unos u SAP'!$M$3:$M$501,"=351")+SUMIFS('ANALITIKA EU PROJEKATA'!$G$3:$G$501,'ANALITIKA EU PROJEKATA'!$A$3:$A$501,"=41",'ANALITIKA EU PROJEKATA'!$P$3:$P$501,"=351")</f>
        <v>0</v>
      </c>
      <c r="I20" s="138">
        <f>SUMIFS('Plan rashoda za unos u SAP'!$I$3:$I$501,'Plan rashoda za unos u SAP'!$C$3:$C$501,"=43",'Plan rashoda za unos u SAP'!$M$3:$M$501,"=351")+SUMIFS('ANALITIKA EU PROJEKATA'!$G$3:$G$501,'ANALITIKA EU PROJEKATA'!$A$3:$A$501,"=43",'ANALITIKA EU PROJEKATA'!$P$3:$P$501,"=351")</f>
        <v>0</v>
      </c>
      <c r="J20" s="138">
        <f>SUMIFS('Plan rashoda za unos u SAP'!$I$3:$I$501,'Plan rashoda za unos u SAP'!$C$3:$C$501,"=51",'Plan rashoda za unos u SAP'!$M$3:$M$501,"=351")+SUMIFS('ANALITIKA EU PROJEKATA'!$G$3:$G$501,'ANALITIKA EU PROJEKATA'!$A$3:$A$501,"=51",'ANALITIKA EU PROJEKATA'!$P$3:$P$501,"=351")</f>
        <v>0</v>
      </c>
      <c r="K20" s="138">
        <f>SUMIFS('Plan rashoda za unos u SAP'!$I$3:$I$501,'Plan rashoda za unos u SAP'!$C$3:$C$501,"=52",'Plan rashoda za unos u SAP'!$M$3:$M$501,"=351")+SUMIFS('ANALITIKA EU PROJEKATA'!$G$3:$G$501,'ANALITIKA EU PROJEKATA'!$A$3:$A$501,"=52",'ANALITIKA EU PROJEKATA'!$P$3:$P$501,"=351")</f>
        <v>0</v>
      </c>
      <c r="L20" s="138">
        <f>SUMIFS('Plan rashoda za unos u SAP'!$I$3:$I$501,'Plan rashoda za unos u SAP'!$C$3:$C$501,"=552",'Plan rashoda za unos u SAP'!$M$3:$M$501,"=351")+SUMIFS('ANALITIKA EU PROJEKATA'!$G$3:$G$501,'ANALITIKA EU PROJEKATA'!$A$3:$A$501,"=552",'ANALITIKA EU PROJEKATA'!$P$3:$P$501,"=351")</f>
        <v>0</v>
      </c>
      <c r="M20" s="138">
        <f>SUMIFS('Plan rashoda za unos u SAP'!$I$3:$I$501,'Plan rashoda za unos u SAP'!$C$3:$C$501,"=559",'Plan rashoda za unos u SAP'!$M$3:$M$501,"=351")+SUMIFS('ANALITIKA EU PROJEKATA'!$G$3:$G$501,'ANALITIKA EU PROJEKATA'!$A$3:$A$501,"=559",'ANALITIKA EU PROJEKATA'!$P$3:$P$501,"=351")</f>
        <v>0</v>
      </c>
      <c r="N20" s="138">
        <f>SUMIFS('Plan rashoda za unos u SAP'!$I$3:$I$501,'Plan rashoda za unos u SAP'!$C$3:$C$501,"=561",'Plan rashoda za unos u SAP'!$M$3:$M$501,"=351")+SUMIFS('ANALITIKA EU PROJEKATA'!$G$3:$G$501,'ANALITIKA EU PROJEKATA'!$A$3:$A$501,"=561",'ANALITIKA EU PROJEKATA'!$P$3:$P$501,"=351")</f>
        <v>0</v>
      </c>
      <c r="O20" s="138">
        <f>SUMIFS('Plan rashoda za unos u SAP'!$I$3:$I$501,'Plan rashoda za unos u SAP'!$C$3:$C$501,"=563",'Plan rashoda za unos u SAP'!$M$3:$M$501,"=351")+SUMIFS('ANALITIKA EU PROJEKATA'!$G$3:$G$501,'ANALITIKA EU PROJEKATA'!$A$3:$A$501,"=563",'ANALITIKA EU PROJEKATA'!$P$3:$P$501,"=351")</f>
        <v>0</v>
      </c>
      <c r="P20" s="138">
        <f>SUMIFS('Plan rashoda za unos u SAP'!$I$3:$I$501,'Plan rashoda za unos u SAP'!$C$3:$C$501,"=573",'Plan rashoda za unos u SAP'!$M$3:$M$501,"=351")+SUMIFS('ANALITIKA EU PROJEKATA'!$G$3:$G$501,'ANALITIKA EU PROJEKATA'!$A$3:$A$501,"=573",'ANALITIKA EU PROJEKATA'!$P$3:$P$501,"=351")</f>
        <v>0</v>
      </c>
      <c r="Q20" s="138">
        <f>SUMIFS('Plan rashoda za unos u SAP'!$I$3:$I$501,'Plan rashoda za unos u SAP'!$C$3:$C$501,"=575",'Plan rashoda za unos u SAP'!$M$3:$M$501,"=351")+SUMIFS('ANALITIKA EU PROJEKATA'!$G$3:$G$501,'ANALITIKA EU PROJEKATA'!$A$3:$A$501,"=575",'ANALITIKA EU PROJEKATA'!$P$3:$P$501,"=351")</f>
        <v>0</v>
      </c>
      <c r="R20" s="138">
        <f>SUMIFS('Plan rashoda za unos u SAP'!$I$3:$I$501,'Plan rashoda za unos u SAP'!$C$3:$C$501,"=576",'Plan rashoda za unos u SAP'!$M$3:$M$501,"=351")+SUMIFS('ANALITIKA EU PROJEKATA'!$G$3:$G$501,'ANALITIKA EU PROJEKATA'!$A$3:$A$501,"=576",'ANALITIKA EU PROJEKATA'!$P$3:$P$501,"=351")</f>
        <v>0</v>
      </c>
      <c r="S20" s="138">
        <f>SUMIFS('Plan rashoda za unos u SAP'!$I$3:$I$501,'Plan rashoda za unos u SAP'!$C$3:$C$501,"=581",'Plan rashoda za unos u SAP'!$M$3:$M$501,"=351")+SUMIFS('ANALITIKA EU PROJEKATA'!$G$3:$G$501,'ANALITIKA EU PROJEKATA'!$A$3:$A$501,"=581",'ANALITIKA EU PROJEKATA'!$P$3:$P$501,"=351")</f>
        <v>0</v>
      </c>
      <c r="T20" s="138">
        <f>SUMIFS('Plan rashoda za unos u SAP'!$I$3:$I$501,'Plan rashoda za unos u SAP'!$C$3:$C$501,"=61",'Plan rashoda za unos u SAP'!$M$3:$M$501,"=351")+SUMIFS('ANALITIKA EU PROJEKATA'!$G$3:$G$501,'ANALITIKA EU PROJEKATA'!$A$3:$A$501,"=61",'ANALITIKA EU PROJEKATA'!$P$3:$P$501,"=351")</f>
        <v>0</v>
      </c>
      <c r="U20" s="138">
        <f>SUMIFS('Plan rashoda za unos u SAP'!$I$3:$I$501,'Plan rashoda za unos u SAP'!$C$3:$C$501,"=63",'Plan rashoda za unos u SAP'!$M$3:$M$501,"=351")+SUMIFS('ANALITIKA EU PROJEKATA'!$G$3:$G$501,'ANALITIKA EU PROJEKATA'!$A$3:$A$501,"=63",'ANALITIKA EU PROJEKATA'!$P$3:$P$501,"=351")</f>
        <v>0</v>
      </c>
      <c r="V20" s="138">
        <f>SUMIFS('Plan rashoda za unos u SAP'!$I$3:$I$501,'Plan rashoda za unos u SAP'!$C$3:$C$501,"=71",'Plan rashoda za unos u SAP'!$M$3:$M$501,"=351")+SUMIFS('ANALITIKA EU PROJEKATA'!$G$3:$G$501,'ANALITIKA EU PROJEKATA'!$A$3:$A$501,"=71",'ANALITIKA EU PROJEKATA'!$P$3:$P$501,"=351")</f>
        <v>0</v>
      </c>
      <c r="W20" s="138">
        <f>SUMIFS('Plan rashoda za unos u SAP'!$I$3:$I$501,'Plan rashoda za unos u SAP'!$C$3:$C$501,"=81",'Plan rashoda za unos u SAP'!$M$3:$M$501,"=351")+SUMIFS('ANALITIKA EU PROJEKATA'!$G$3:$G$501,'ANALITIKA EU PROJEKATA'!$A$3:$A$501,"=81",'ANALITIKA EU PROJEKATA'!$P$3:$P$501,"=351")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322</v>
      </c>
      <c r="D21" s="14">
        <f t="shared" si="0"/>
        <v>0</v>
      </c>
      <c r="E21" s="138">
        <f>SUMIFS('Plan rashoda za unos u SAP'!$I$3:$I$501,'Plan rashoda za unos u SAP'!$C$3:$C$501,"=11",'Plan rashoda za unos u SAP'!$M$3:$M$501,"=352")+SUMIFS('ANALITIKA EU PROJEKATA'!$G$3:$G$501,'ANALITIKA EU PROJEKATA'!$A$3:$A$501,"=11",'ANALITIKA EU PROJEKATA'!$P$3:$P$501,"=352")</f>
        <v>0</v>
      </c>
      <c r="F21" s="138">
        <f>SUMIFS('Plan rashoda za unos u SAP'!$I$3:$I$501,'Plan rashoda za unos u SAP'!$C$3:$C$501,"=12",'Plan rashoda za unos u SAP'!$M$3:$M$501,"=352")+SUMIFS('ANALITIKA EU PROJEKATA'!$G$3:$G$501,'ANALITIKA EU PROJEKATA'!$A$3:$A$501,"=12",'ANALITIKA EU PROJEKATA'!$P$3:$P$501,"=352")</f>
        <v>0</v>
      </c>
      <c r="G21" s="138">
        <f>SUMIFS('Plan rashoda za unos u SAP'!$I$3:$I$501,'Plan rashoda za unos u SAP'!$C$3:$C$501,"=31",'Plan rashoda za unos u SAP'!$M$3:$M$501,"=352")+SUMIFS('ANALITIKA EU PROJEKATA'!$G$3:$G$501,'ANALITIKA EU PROJEKATA'!$A$3:$A$501,"=31",'ANALITIKA EU PROJEKATA'!$P$3:$P$501,"=352")</f>
        <v>0</v>
      </c>
      <c r="H21" s="138">
        <f>SUMIFS('Plan rashoda za unos u SAP'!$I$3:$I$501,'Plan rashoda za unos u SAP'!$C$3:$C$501,"=41",'Plan rashoda za unos u SAP'!$M$3:$M$501,"=352")+SUMIFS('ANALITIKA EU PROJEKATA'!$G$3:$G$501,'ANALITIKA EU PROJEKATA'!$A$3:$A$501,"=41",'ANALITIKA EU PROJEKATA'!$P$3:$P$501,"=352")</f>
        <v>0</v>
      </c>
      <c r="I21" s="138">
        <f>SUMIFS('Plan rashoda za unos u SAP'!$I$3:$I$501,'Plan rashoda za unos u SAP'!$C$3:$C$501,"=43",'Plan rashoda za unos u SAP'!$M$3:$M$501,"=352")+SUMIFS('ANALITIKA EU PROJEKATA'!$G$3:$G$501,'ANALITIKA EU PROJEKATA'!$A$3:$A$501,"=43",'ANALITIKA EU PROJEKATA'!$P$3:$P$501,"=352")</f>
        <v>0</v>
      </c>
      <c r="J21" s="138">
        <f>SUMIFS('Plan rashoda za unos u SAP'!$I$3:$I$501,'Plan rashoda za unos u SAP'!$C$3:$C$501,"=51",'Plan rashoda za unos u SAP'!$M$3:$M$501,"=352")+SUMIFS('ANALITIKA EU PROJEKATA'!$G$3:$G$501,'ANALITIKA EU PROJEKATA'!$A$3:$A$501,"=51",'ANALITIKA EU PROJEKATA'!$P$3:$P$501,"=352")</f>
        <v>0</v>
      </c>
      <c r="K21" s="138">
        <f>SUMIFS('Plan rashoda za unos u SAP'!$I$3:$I$501,'Plan rashoda za unos u SAP'!$C$3:$C$501,"=52",'Plan rashoda za unos u SAP'!$M$3:$M$501,"=352")+SUMIFS('ANALITIKA EU PROJEKATA'!$G$3:$G$501,'ANALITIKA EU PROJEKATA'!$A$3:$A$501,"=52",'ANALITIKA EU PROJEKATA'!$P$3:$P$501,"=352")</f>
        <v>0</v>
      </c>
      <c r="L21" s="138">
        <f>SUMIFS('Plan rashoda za unos u SAP'!$I$3:$I$501,'Plan rashoda za unos u SAP'!$C$3:$C$501,"=552",'Plan rashoda za unos u SAP'!$M$3:$M$501,"=352")+SUMIFS('ANALITIKA EU PROJEKATA'!$G$3:$G$501,'ANALITIKA EU PROJEKATA'!$A$3:$A$501,"=552",'ANALITIKA EU PROJEKATA'!$P$3:$P$501,"=352")</f>
        <v>0</v>
      </c>
      <c r="M21" s="138">
        <f>SUMIFS('Plan rashoda za unos u SAP'!$I$3:$I$501,'Plan rashoda za unos u SAP'!$C$3:$C$501,"=559",'Plan rashoda za unos u SAP'!$M$3:$M$501,"=352")+SUMIFS('ANALITIKA EU PROJEKATA'!$G$3:$G$501,'ANALITIKA EU PROJEKATA'!$A$3:$A$501,"=559",'ANALITIKA EU PROJEKATA'!$P$3:$P$501,"=352")</f>
        <v>0</v>
      </c>
      <c r="N21" s="138">
        <f>SUMIFS('Plan rashoda za unos u SAP'!$I$3:$I$501,'Plan rashoda za unos u SAP'!$C$3:$C$501,"=561",'Plan rashoda za unos u SAP'!$M$3:$M$501,"=352")+SUMIFS('ANALITIKA EU PROJEKATA'!$G$3:$G$501,'ANALITIKA EU PROJEKATA'!$A$3:$A$501,"=561",'ANALITIKA EU PROJEKATA'!$P$3:$P$501,"=352")</f>
        <v>0</v>
      </c>
      <c r="O21" s="138">
        <f>SUMIFS('Plan rashoda za unos u SAP'!$I$3:$I$501,'Plan rashoda za unos u SAP'!$C$3:$C$501,"=563",'Plan rashoda za unos u SAP'!$M$3:$M$501,"=352")+SUMIFS('ANALITIKA EU PROJEKATA'!$G$3:$G$501,'ANALITIKA EU PROJEKATA'!$A$3:$A$501,"=563",'ANALITIKA EU PROJEKATA'!$P$3:$P$501,"=352")</f>
        <v>0</v>
      </c>
      <c r="P21" s="138">
        <f>SUMIFS('Plan rashoda za unos u SAP'!$I$3:$I$501,'Plan rashoda za unos u SAP'!$C$3:$C$501,"=573",'Plan rashoda za unos u SAP'!$M$3:$M$501,"=352")+SUMIFS('ANALITIKA EU PROJEKATA'!$G$3:$G$501,'ANALITIKA EU PROJEKATA'!$A$3:$A$501,"=573",'ANALITIKA EU PROJEKATA'!$P$3:$P$501,"=352")</f>
        <v>0</v>
      </c>
      <c r="Q21" s="138">
        <f>SUMIFS('Plan rashoda za unos u SAP'!$I$3:$I$501,'Plan rashoda za unos u SAP'!$C$3:$C$501,"=575",'Plan rashoda za unos u SAP'!$M$3:$M$501,"=352")+SUMIFS('ANALITIKA EU PROJEKATA'!$G$3:$G$501,'ANALITIKA EU PROJEKATA'!$A$3:$A$501,"=575",'ANALITIKA EU PROJEKATA'!$P$3:$P$501,"=352")</f>
        <v>0</v>
      </c>
      <c r="R21" s="138">
        <f>SUMIFS('Plan rashoda za unos u SAP'!$I$3:$I$501,'Plan rashoda za unos u SAP'!$C$3:$C$501,"=576",'Plan rashoda za unos u SAP'!$M$3:$M$501,"=352")+SUMIFS('ANALITIKA EU PROJEKATA'!$G$3:$G$501,'ANALITIKA EU PROJEKATA'!$A$3:$A$501,"=576",'ANALITIKA EU PROJEKATA'!$P$3:$P$501,"=352")</f>
        <v>0</v>
      </c>
      <c r="S21" s="138">
        <f>SUMIFS('Plan rashoda za unos u SAP'!$I$3:$I$501,'Plan rashoda za unos u SAP'!$C$3:$C$501,"=581",'Plan rashoda za unos u SAP'!$M$3:$M$501,"=352")+SUMIFS('ANALITIKA EU PROJEKATA'!$G$3:$G$501,'ANALITIKA EU PROJEKATA'!$A$3:$A$501,"=581",'ANALITIKA EU PROJEKATA'!$P$3:$P$501,"=352")</f>
        <v>0</v>
      </c>
      <c r="T21" s="138">
        <f>SUMIFS('Plan rashoda za unos u SAP'!$I$3:$I$501,'Plan rashoda za unos u SAP'!$C$3:$C$501,"=61",'Plan rashoda za unos u SAP'!$M$3:$M$501,"=352")+SUMIFS('ANALITIKA EU PROJEKATA'!$G$3:$G$501,'ANALITIKA EU PROJEKATA'!$A$3:$A$501,"=61",'ANALITIKA EU PROJEKATA'!$P$3:$P$501,"=352")</f>
        <v>0</v>
      </c>
      <c r="U21" s="138">
        <f>SUMIFS('Plan rashoda za unos u SAP'!$I$3:$I$501,'Plan rashoda za unos u SAP'!$C$3:$C$501,"=63",'Plan rashoda za unos u SAP'!$M$3:$M$501,"=352")+SUMIFS('ANALITIKA EU PROJEKATA'!$G$3:$G$501,'ANALITIKA EU PROJEKATA'!$A$3:$A$501,"=63",'ANALITIKA EU PROJEKATA'!$P$3:$P$501,"=352")</f>
        <v>0</v>
      </c>
      <c r="V21" s="138">
        <f>SUMIFS('Plan rashoda za unos u SAP'!$I$3:$I$501,'Plan rashoda za unos u SAP'!$C$3:$C$501,"=71",'Plan rashoda za unos u SAP'!$M$3:$M$501,"=352")+SUMIFS('ANALITIKA EU PROJEKATA'!$G$3:$G$501,'ANALITIKA EU PROJEKATA'!$A$3:$A$501,"=71",'ANALITIKA EU PROJEKATA'!$P$3:$P$501,"=352")</f>
        <v>0</v>
      </c>
      <c r="W21" s="138">
        <f>SUMIFS('Plan rashoda za unos u SAP'!$I$3:$I$501,'Plan rashoda za unos u SAP'!$C$3:$C$501,"=81",'Plan rashoda za unos u SAP'!$M$3:$M$501,"=352")+SUMIFS('ANALITIKA EU PROJEKATA'!$G$3:$G$501,'ANALITIKA EU PROJEKATA'!$A$3:$A$501,"=81",'ANALITIKA EU PROJEKATA'!$P$3:$P$501,"=352")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323</v>
      </c>
      <c r="D22" s="14">
        <f t="shared" si="0"/>
        <v>0</v>
      </c>
      <c r="E22" s="138">
        <f>SUMIFS('Plan rashoda za unos u SAP'!$I$3:$I$501,'Plan rashoda za unos u SAP'!$C$3:$C$501,"=11",'Plan rashoda za unos u SAP'!$M$3:$M$501,"=353")+SUMIFS('ANALITIKA EU PROJEKATA'!$G$3:$G$501,'ANALITIKA EU PROJEKATA'!$A$3:$A$501,"=11",'ANALITIKA EU PROJEKATA'!$P$3:$P$501,"=353")</f>
        <v>0</v>
      </c>
      <c r="F22" s="138">
        <f>SUMIFS('Plan rashoda za unos u SAP'!$I$3:$I$501,'Plan rashoda za unos u SAP'!$C$3:$C$501,"=12",'Plan rashoda za unos u SAP'!$M$3:$M$501,"=353")+SUMIFS('ANALITIKA EU PROJEKATA'!$G$3:$G$501,'ANALITIKA EU PROJEKATA'!$A$3:$A$501,"=12",'ANALITIKA EU PROJEKATA'!$P$3:$P$501,"=353")</f>
        <v>0</v>
      </c>
      <c r="G22" s="138">
        <f>SUMIFS('Plan rashoda za unos u SAP'!$I$3:$I$501,'Plan rashoda za unos u SAP'!$C$3:$C$501,"=31",'Plan rashoda za unos u SAP'!$M$3:$M$501,"=353")+SUMIFS('ANALITIKA EU PROJEKATA'!$G$3:$G$501,'ANALITIKA EU PROJEKATA'!$A$3:$A$501,"=31",'ANALITIKA EU PROJEKATA'!$P$3:$P$501,"=353")</f>
        <v>0</v>
      </c>
      <c r="H22" s="138">
        <f>SUMIFS('Plan rashoda za unos u SAP'!$I$3:$I$501,'Plan rashoda za unos u SAP'!$C$3:$C$501,"=41",'Plan rashoda za unos u SAP'!$M$3:$M$501,"=353")+SUMIFS('ANALITIKA EU PROJEKATA'!$G$3:$G$501,'ANALITIKA EU PROJEKATA'!$A$3:$A$501,"=41",'ANALITIKA EU PROJEKATA'!$P$3:$P$501,"=353")</f>
        <v>0</v>
      </c>
      <c r="I22" s="138">
        <f>SUMIFS('Plan rashoda za unos u SAP'!$I$3:$I$501,'Plan rashoda za unos u SAP'!$C$3:$C$501,"=43",'Plan rashoda za unos u SAP'!$M$3:$M$501,"=353")+SUMIFS('ANALITIKA EU PROJEKATA'!$G$3:$G$501,'ANALITIKA EU PROJEKATA'!$A$3:$A$501,"=43",'ANALITIKA EU PROJEKATA'!$P$3:$P$501,"=353")</f>
        <v>0</v>
      </c>
      <c r="J22" s="138">
        <f>SUMIFS('Plan rashoda za unos u SAP'!$I$3:$I$501,'Plan rashoda za unos u SAP'!$C$3:$C$501,"=51",'Plan rashoda za unos u SAP'!$M$3:$M$501,"=353")+SUMIFS('ANALITIKA EU PROJEKATA'!$G$3:$G$501,'ANALITIKA EU PROJEKATA'!$A$3:$A$501,"=51",'ANALITIKA EU PROJEKATA'!$P$3:$P$501,"=353")</f>
        <v>0</v>
      </c>
      <c r="K22" s="138">
        <f>SUMIFS('Plan rashoda za unos u SAP'!$I$3:$I$501,'Plan rashoda za unos u SAP'!$C$3:$C$501,"=52",'Plan rashoda za unos u SAP'!$M$3:$M$501,"=353")+SUMIFS('ANALITIKA EU PROJEKATA'!$G$3:$G$501,'ANALITIKA EU PROJEKATA'!$A$3:$A$501,"=52",'ANALITIKA EU PROJEKATA'!$P$3:$P$501,"=353")</f>
        <v>0</v>
      </c>
      <c r="L22" s="138">
        <f>SUMIFS('Plan rashoda za unos u SAP'!$I$3:$I$501,'Plan rashoda za unos u SAP'!$C$3:$C$501,"=552",'Plan rashoda za unos u SAP'!$M$3:$M$501,"=353")+SUMIFS('ANALITIKA EU PROJEKATA'!$G$3:$G$501,'ANALITIKA EU PROJEKATA'!$A$3:$A$501,"=552",'ANALITIKA EU PROJEKATA'!$P$3:$P$501,"=353")</f>
        <v>0</v>
      </c>
      <c r="M22" s="138">
        <f>SUMIFS('Plan rashoda za unos u SAP'!$I$3:$I$501,'Plan rashoda za unos u SAP'!$C$3:$C$501,"=559",'Plan rashoda za unos u SAP'!$M$3:$M$501,"=353")+SUMIFS('ANALITIKA EU PROJEKATA'!$G$3:$G$501,'ANALITIKA EU PROJEKATA'!$A$3:$A$501,"=559",'ANALITIKA EU PROJEKATA'!$P$3:$P$501,"=353")</f>
        <v>0</v>
      </c>
      <c r="N22" s="138">
        <f>SUMIFS('Plan rashoda za unos u SAP'!$I$3:$I$501,'Plan rashoda za unos u SAP'!$C$3:$C$501,"=561",'Plan rashoda za unos u SAP'!$M$3:$M$501,"=353")+SUMIFS('ANALITIKA EU PROJEKATA'!$G$3:$G$501,'ANALITIKA EU PROJEKATA'!$A$3:$A$501,"=561",'ANALITIKA EU PROJEKATA'!$P$3:$P$501,"=353")</f>
        <v>0</v>
      </c>
      <c r="O22" s="138">
        <f>SUMIFS('Plan rashoda za unos u SAP'!$I$3:$I$501,'Plan rashoda za unos u SAP'!$C$3:$C$501,"=563",'Plan rashoda za unos u SAP'!$M$3:$M$501,"=353")+SUMIFS('ANALITIKA EU PROJEKATA'!$G$3:$G$501,'ANALITIKA EU PROJEKATA'!$A$3:$A$501,"=563",'ANALITIKA EU PROJEKATA'!$P$3:$P$501,"=353")</f>
        <v>0</v>
      </c>
      <c r="P22" s="138">
        <f>SUMIFS('Plan rashoda za unos u SAP'!$I$3:$I$501,'Plan rashoda za unos u SAP'!$C$3:$C$501,"=573",'Plan rashoda za unos u SAP'!$M$3:$M$501,"=353")+SUMIFS('ANALITIKA EU PROJEKATA'!$G$3:$G$501,'ANALITIKA EU PROJEKATA'!$A$3:$A$501,"=573",'ANALITIKA EU PROJEKATA'!$P$3:$P$501,"=353")</f>
        <v>0</v>
      </c>
      <c r="Q22" s="138">
        <f>SUMIFS('Plan rashoda za unos u SAP'!$I$3:$I$501,'Plan rashoda za unos u SAP'!$C$3:$C$501,"=575",'Plan rashoda za unos u SAP'!$M$3:$M$501,"=353")+SUMIFS('ANALITIKA EU PROJEKATA'!$G$3:$G$501,'ANALITIKA EU PROJEKATA'!$A$3:$A$501,"=575",'ANALITIKA EU PROJEKATA'!$P$3:$P$501,"=353")</f>
        <v>0</v>
      </c>
      <c r="R22" s="138">
        <f>SUMIFS('Plan rashoda za unos u SAP'!$I$3:$I$501,'Plan rashoda za unos u SAP'!$C$3:$C$501,"=576",'Plan rashoda za unos u SAP'!$M$3:$M$501,"=353")+SUMIFS('ANALITIKA EU PROJEKATA'!$G$3:$G$501,'ANALITIKA EU PROJEKATA'!$A$3:$A$501,"=576",'ANALITIKA EU PROJEKATA'!$P$3:$P$501,"=353")</f>
        <v>0</v>
      </c>
      <c r="S22" s="138">
        <f>SUMIFS('Plan rashoda za unos u SAP'!$I$3:$I$501,'Plan rashoda za unos u SAP'!$C$3:$C$501,"=581",'Plan rashoda za unos u SAP'!$M$3:$M$501,"=353")+SUMIFS('ANALITIKA EU PROJEKATA'!$G$3:$G$501,'ANALITIKA EU PROJEKATA'!$A$3:$A$501,"=581",'ANALITIKA EU PROJEKATA'!$P$3:$P$501,"=353")</f>
        <v>0</v>
      </c>
      <c r="T22" s="138">
        <f>SUMIFS('Plan rashoda za unos u SAP'!$I$3:$I$501,'Plan rashoda za unos u SAP'!$C$3:$C$501,"=61",'Plan rashoda za unos u SAP'!$M$3:$M$501,"=353")+SUMIFS('ANALITIKA EU PROJEKATA'!$G$3:$G$501,'ANALITIKA EU PROJEKATA'!$A$3:$A$501,"=61",'ANALITIKA EU PROJEKATA'!$P$3:$P$501,"=353")</f>
        <v>0</v>
      </c>
      <c r="U22" s="138">
        <f>SUMIFS('Plan rashoda za unos u SAP'!$I$3:$I$501,'Plan rashoda za unos u SAP'!$C$3:$C$501,"=63",'Plan rashoda za unos u SAP'!$M$3:$M$501,"=353")+SUMIFS('ANALITIKA EU PROJEKATA'!$G$3:$G$501,'ANALITIKA EU PROJEKATA'!$A$3:$A$501,"=63",'ANALITIKA EU PROJEKATA'!$P$3:$P$501,"=353")</f>
        <v>0</v>
      </c>
      <c r="V22" s="138">
        <f>SUMIFS('Plan rashoda za unos u SAP'!$I$3:$I$501,'Plan rashoda za unos u SAP'!$C$3:$C$501,"=71",'Plan rashoda za unos u SAP'!$M$3:$M$501,"=353")+SUMIFS('ANALITIKA EU PROJEKATA'!$G$3:$G$501,'ANALITIKA EU PROJEKATA'!$A$3:$A$501,"=71",'ANALITIKA EU PROJEKATA'!$P$3:$P$501,"=353")</f>
        <v>0</v>
      </c>
      <c r="W22" s="138">
        <f>SUMIFS('Plan rashoda za unos u SAP'!$I$3:$I$501,'Plan rashoda za unos u SAP'!$C$3:$C$501,"=81",'Plan rashoda za unos u SAP'!$M$3:$M$501,"=353")+SUMIFS('ANALITIKA EU PROJEKATA'!$G$3:$G$501,'ANALITIKA EU PROJEKATA'!$A$3:$A$501,"=81",'ANALITIKA EU PROJEKATA'!$P$3:$P$501,"=353")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209</v>
      </c>
      <c r="D23" s="4">
        <f t="shared" si="0"/>
        <v>0</v>
      </c>
      <c r="E23" s="78">
        <f t="shared" ref="E23:W23" si="7">SUM(E24:E29)</f>
        <v>0</v>
      </c>
      <c r="F23" s="78">
        <f t="shared" si="7"/>
        <v>0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0</v>
      </c>
      <c r="K23" s="78">
        <f t="shared" si="7"/>
        <v>0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>SUM(S24:S29)</f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324</v>
      </c>
      <c r="D24" s="14">
        <f t="shared" si="0"/>
        <v>0</v>
      </c>
      <c r="E24" s="138">
        <f>SUMIFS('Plan rashoda za unos u SAP'!$I$3:$I$501,'Plan rashoda za unos u SAP'!$C$3:$C$501,"=11",'Plan rashoda za unos u SAP'!$M$3:$M$501,"=361")+SUMIFS('ANALITIKA EU PROJEKATA'!$G$3:$G$501,'ANALITIKA EU PROJEKATA'!$A$3:$A$501,"=11",'ANALITIKA EU PROJEKATA'!$P$3:$P$501,"=361")</f>
        <v>0</v>
      </c>
      <c r="F24" s="138">
        <f>SUMIFS('Plan rashoda za unos u SAP'!$I$3:$I$501,'Plan rashoda za unos u SAP'!$C$3:$C$501,"=12",'Plan rashoda za unos u SAP'!$M$3:$M$501,"=361")+SUMIFS('ANALITIKA EU PROJEKATA'!$G$3:$G$501,'ANALITIKA EU PROJEKATA'!$A$3:$A$501,"=12",'ANALITIKA EU PROJEKATA'!$P$3:$P$501,"=361")</f>
        <v>0</v>
      </c>
      <c r="G24" s="138">
        <f>SUMIFS('Plan rashoda za unos u SAP'!$I$3:$I$501,'Plan rashoda za unos u SAP'!$C$3:$C$501,"=31",'Plan rashoda za unos u SAP'!$M$3:$M$501,"=361")+SUMIFS('ANALITIKA EU PROJEKATA'!$G$3:$G$501,'ANALITIKA EU PROJEKATA'!$A$3:$A$501,"=31",'ANALITIKA EU PROJEKATA'!$P$3:$P$501,"=361")</f>
        <v>0</v>
      </c>
      <c r="H24" s="138">
        <f>SUMIFS('Plan rashoda za unos u SAP'!$I$3:$I$501,'Plan rashoda za unos u SAP'!$C$3:$C$501,"=41",'Plan rashoda za unos u SAP'!$M$3:$M$501,"=361")+SUMIFS('ANALITIKA EU PROJEKATA'!$G$3:$G$501,'ANALITIKA EU PROJEKATA'!$A$3:$A$501,"=41",'ANALITIKA EU PROJEKATA'!$P$3:$P$501,"=361")</f>
        <v>0</v>
      </c>
      <c r="I24" s="138">
        <f>SUMIFS('Plan rashoda za unos u SAP'!$I$3:$I$501,'Plan rashoda za unos u SAP'!$C$3:$C$501,"=43",'Plan rashoda za unos u SAP'!$M$3:$M$501,"=361")+SUMIFS('ANALITIKA EU PROJEKATA'!$G$3:$G$501,'ANALITIKA EU PROJEKATA'!$A$3:$A$501,"=43",'ANALITIKA EU PROJEKATA'!$P$3:$P$501,"=361")</f>
        <v>0</v>
      </c>
      <c r="J24" s="138">
        <f>SUMIFS('Plan rashoda za unos u SAP'!$I$3:$I$501,'Plan rashoda za unos u SAP'!$C$3:$C$501,"=51",'Plan rashoda za unos u SAP'!$M$3:$M$501,"=361")+SUMIFS('ANALITIKA EU PROJEKATA'!$G$3:$G$501,'ANALITIKA EU PROJEKATA'!$A$3:$A$501,"=51",'ANALITIKA EU PROJEKATA'!$P$3:$P$501,"=361")</f>
        <v>0</v>
      </c>
      <c r="K24" s="138">
        <f>SUMIFS('Plan rashoda za unos u SAP'!$I$3:$I$501,'Plan rashoda za unos u SAP'!$C$3:$C$501,"=52",'Plan rashoda za unos u SAP'!$M$3:$M$501,"=361")+SUMIFS('ANALITIKA EU PROJEKATA'!$G$3:$G$501,'ANALITIKA EU PROJEKATA'!$A$3:$A$501,"=52",'ANALITIKA EU PROJEKATA'!$P$3:$P$501,"=361")</f>
        <v>0</v>
      </c>
      <c r="L24" s="138">
        <f>SUMIFS('Plan rashoda za unos u SAP'!$I$3:$I$501,'Plan rashoda za unos u SAP'!$C$3:$C$501,"=552",'Plan rashoda za unos u SAP'!$M$3:$M$501,"=361")+SUMIFS('ANALITIKA EU PROJEKATA'!$G$3:$G$501,'ANALITIKA EU PROJEKATA'!$A$3:$A$501,"=552",'ANALITIKA EU PROJEKATA'!$P$3:$P$501,"=361")</f>
        <v>0</v>
      </c>
      <c r="M24" s="138">
        <f>SUMIFS('Plan rashoda za unos u SAP'!$I$3:$I$501,'Plan rashoda za unos u SAP'!$C$3:$C$501,"=559",'Plan rashoda za unos u SAP'!$M$3:$M$501,"=361")+SUMIFS('ANALITIKA EU PROJEKATA'!$G$3:$G$501,'ANALITIKA EU PROJEKATA'!$A$3:$A$501,"=559",'ANALITIKA EU PROJEKATA'!$P$3:$P$501,"=361")</f>
        <v>0</v>
      </c>
      <c r="N24" s="138">
        <f>SUMIFS('Plan rashoda za unos u SAP'!$I$3:$I$501,'Plan rashoda za unos u SAP'!$C$3:$C$501,"=561",'Plan rashoda za unos u SAP'!$M$3:$M$501,"=361")+SUMIFS('ANALITIKA EU PROJEKATA'!$G$3:$G$501,'ANALITIKA EU PROJEKATA'!$A$3:$A$501,"=561",'ANALITIKA EU PROJEKATA'!$P$3:$P$501,"=361")</f>
        <v>0</v>
      </c>
      <c r="O24" s="138">
        <f>SUMIFS('Plan rashoda za unos u SAP'!$I$3:$I$501,'Plan rashoda za unos u SAP'!$C$3:$C$501,"=563",'Plan rashoda za unos u SAP'!$M$3:$M$501,"=361")+SUMIFS('ANALITIKA EU PROJEKATA'!$G$3:$G$501,'ANALITIKA EU PROJEKATA'!$A$3:$A$501,"=563",'ANALITIKA EU PROJEKATA'!$P$3:$P$501,"=361")</f>
        <v>0</v>
      </c>
      <c r="P24" s="138">
        <f>SUMIFS('Plan rashoda za unos u SAP'!$I$3:$I$501,'Plan rashoda za unos u SAP'!$C$3:$C$501,"=573",'Plan rashoda za unos u SAP'!$M$3:$M$501,"=361")+SUMIFS('ANALITIKA EU PROJEKATA'!$G$3:$G$501,'ANALITIKA EU PROJEKATA'!$A$3:$A$501,"=573",'ANALITIKA EU PROJEKATA'!$P$3:$P$501,"=361")</f>
        <v>0</v>
      </c>
      <c r="Q24" s="138">
        <f>SUMIFS('Plan rashoda za unos u SAP'!$I$3:$I$501,'Plan rashoda za unos u SAP'!$C$3:$C$501,"=575",'Plan rashoda za unos u SAP'!$M$3:$M$501,"=361")+SUMIFS('ANALITIKA EU PROJEKATA'!$G$3:$G$501,'ANALITIKA EU PROJEKATA'!$A$3:$A$501,"=575",'ANALITIKA EU PROJEKATA'!$P$3:$P$501,"=361")</f>
        <v>0</v>
      </c>
      <c r="R24" s="138">
        <f>SUMIFS('Plan rashoda za unos u SAP'!$I$3:$I$501,'Plan rashoda za unos u SAP'!$C$3:$C$501,"=576",'Plan rashoda za unos u SAP'!$M$3:$M$501,"=361")+SUMIFS('ANALITIKA EU PROJEKATA'!$G$3:$G$501,'ANALITIKA EU PROJEKATA'!$A$3:$A$501,"=576",'ANALITIKA EU PROJEKATA'!$P$3:$P$501,"=361")</f>
        <v>0</v>
      </c>
      <c r="S24" s="138">
        <f>SUMIFS('Plan rashoda za unos u SAP'!$I$3:$I$501,'Plan rashoda za unos u SAP'!$C$3:$C$501,"=581",'Plan rashoda za unos u SAP'!$M$3:$M$501,"=361")+SUMIFS('ANALITIKA EU PROJEKATA'!$G$3:$G$501,'ANALITIKA EU PROJEKATA'!$A$3:$A$501,"=581",'ANALITIKA EU PROJEKATA'!$P$3:$P$501,"=361")</f>
        <v>0</v>
      </c>
      <c r="T24" s="138">
        <f>SUMIFS('Plan rashoda za unos u SAP'!$I$3:$I$501,'Plan rashoda za unos u SAP'!$C$3:$C$501,"=61",'Plan rashoda za unos u SAP'!$M$3:$M$501,"=361")+SUMIFS('ANALITIKA EU PROJEKATA'!$G$3:$G$501,'ANALITIKA EU PROJEKATA'!$A$3:$A$501,"=61",'ANALITIKA EU PROJEKATA'!$P$3:$P$501,"=361")</f>
        <v>0</v>
      </c>
      <c r="U24" s="138">
        <f>SUMIFS('Plan rashoda za unos u SAP'!$I$3:$I$501,'Plan rashoda za unos u SAP'!$C$3:$C$501,"=63",'Plan rashoda za unos u SAP'!$M$3:$M$501,"=361")+SUMIFS('ANALITIKA EU PROJEKATA'!$G$3:$G$501,'ANALITIKA EU PROJEKATA'!$A$3:$A$501,"=63",'ANALITIKA EU PROJEKATA'!$P$3:$P$501,"=361")</f>
        <v>0</v>
      </c>
      <c r="V24" s="138">
        <f>SUMIFS('Plan rashoda za unos u SAP'!$I$3:$I$501,'Plan rashoda za unos u SAP'!$C$3:$C$501,"=71",'Plan rashoda za unos u SAP'!$M$3:$M$501,"=361")+SUMIFS('ANALITIKA EU PROJEKATA'!$G$3:$G$501,'ANALITIKA EU PROJEKATA'!$A$3:$A$501,"=71",'ANALITIKA EU PROJEKATA'!$P$3:$P$501,"=361")</f>
        <v>0</v>
      </c>
      <c r="W24" s="138">
        <f>SUMIFS('Plan rashoda za unos u SAP'!$I$3:$I$501,'Plan rashoda za unos u SAP'!$C$3:$C$501,"=81",'Plan rashoda za unos u SAP'!$M$3:$M$501,"=361")+SUMIFS('ANALITIKA EU PROJEKATA'!$G$3:$G$501,'ANALITIKA EU PROJEKATA'!$A$3:$A$501,"=81",'ANALITIKA EU PROJEKATA'!$P$3:$P$501,"=361")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325</v>
      </c>
      <c r="D25" s="14">
        <f t="shared" si="0"/>
        <v>0</v>
      </c>
      <c r="E25" s="138">
        <f>SUMIFS('Plan rashoda za unos u SAP'!$I$3:$I$501,'Plan rashoda za unos u SAP'!$C$3:$C$501,"=11",'Plan rashoda za unos u SAP'!$M$3:$M$501,"=362")+SUMIFS('ANALITIKA EU PROJEKATA'!$G$3:$G$501,'ANALITIKA EU PROJEKATA'!$A$3:$A$501,"=11",'ANALITIKA EU PROJEKATA'!$P$3:$P$501,"=362")</f>
        <v>0</v>
      </c>
      <c r="F25" s="138">
        <f>SUMIFS('Plan rashoda za unos u SAP'!$I$3:$I$501,'Plan rashoda za unos u SAP'!$C$3:$C$501,"=12",'Plan rashoda za unos u SAP'!$M$3:$M$501,"=362")+SUMIFS('ANALITIKA EU PROJEKATA'!$G$3:$G$501,'ANALITIKA EU PROJEKATA'!$A$3:$A$501,"=12",'ANALITIKA EU PROJEKATA'!$P$3:$P$501,"=362")</f>
        <v>0</v>
      </c>
      <c r="G25" s="138">
        <f>SUMIFS('Plan rashoda za unos u SAP'!$I$3:$I$501,'Plan rashoda za unos u SAP'!$C$3:$C$501,"=31",'Plan rashoda za unos u SAP'!$M$3:$M$501,"=362")+SUMIFS('ANALITIKA EU PROJEKATA'!$G$3:$G$501,'ANALITIKA EU PROJEKATA'!$A$3:$A$501,"=31",'ANALITIKA EU PROJEKATA'!$P$3:$P$501,"=362")</f>
        <v>0</v>
      </c>
      <c r="H25" s="138">
        <f>SUMIFS('Plan rashoda za unos u SAP'!$I$3:$I$501,'Plan rashoda za unos u SAP'!$C$3:$C$501,"=41",'Plan rashoda za unos u SAP'!$M$3:$M$501,"=362")+SUMIFS('ANALITIKA EU PROJEKATA'!$G$3:$G$501,'ANALITIKA EU PROJEKATA'!$A$3:$A$501,"=41",'ANALITIKA EU PROJEKATA'!$P$3:$P$501,"=362")</f>
        <v>0</v>
      </c>
      <c r="I25" s="138">
        <f>SUMIFS('Plan rashoda za unos u SAP'!$I$3:$I$501,'Plan rashoda za unos u SAP'!$C$3:$C$501,"=43",'Plan rashoda za unos u SAP'!$M$3:$M$501,"=362")+SUMIFS('ANALITIKA EU PROJEKATA'!$G$3:$G$501,'ANALITIKA EU PROJEKATA'!$A$3:$A$501,"=43",'ANALITIKA EU PROJEKATA'!$P$3:$P$501,"=362")</f>
        <v>0</v>
      </c>
      <c r="J25" s="138">
        <f>SUMIFS('Plan rashoda za unos u SAP'!$I$3:$I$501,'Plan rashoda za unos u SAP'!$C$3:$C$501,"=51",'Plan rashoda za unos u SAP'!$M$3:$M$501,"=362")+SUMIFS('ANALITIKA EU PROJEKATA'!$G$3:$G$501,'ANALITIKA EU PROJEKATA'!$A$3:$A$501,"=51",'ANALITIKA EU PROJEKATA'!$P$3:$P$501,"=362")</f>
        <v>0</v>
      </c>
      <c r="K25" s="138">
        <f>SUMIFS('Plan rashoda za unos u SAP'!$I$3:$I$501,'Plan rashoda za unos u SAP'!$C$3:$C$501,"=52",'Plan rashoda za unos u SAP'!$M$3:$M$501,"=362")+SUMIFS('ANALITIKA EU PROJEKATA'!$G$3:$G$501,'ANALITIKA EU PROJEKATA'!$A$3:$A$501,"=52",'ANALITIKA EU PROJEKATA'!$P$3:$P$501,"=362")</f>
        <v>0</v>
      </c>
      <c r="L25" s="138">
        <f>SUMIFS('Plan rashoda za unos u SAP'!$I$3:$I$501,'Plan rashoda za unos u SAP'!$C$3:$C$501,"=552",'Plan rashoda za unos u SAP'!$M$3:$M$501,"=362")+SUMIFS('ANALITIKA EU PROJEKATA'!$G$3:$G$501,'ANALITIKA EU PROJEKATA'!$A$3:$A$501,"=552",'ANALITIKA EU PROJEKATA'!$P$3:$P$501,"=362")</f>
        <v>0</v>
      </c>
      <c r="M25" s="138">
        <f>SUMIFS('Plan rashoda za unos u SAP'!$I$3:$I$501,'Plan rashoda za unos u SAP'!$C$3:$C$501,"=559",'Plan rashoda za unos u SAP'!$M$3:$M$501,"=362")+SUMIFS('ANALITIKA EU PROJEKATA'!$G$3:$G$501,'ANALITIKA EU PROJEKATA'!$A$3:$A$501,"=559",'ANALITIKA EU PROJEKATA'!$P$3:$P$501,"=362")</f>
        <v>0</v>
      </c>
      <c r="N25" s="138">
        <f>SUMIFS('Plan rashoda za unos u SAP'!$I$3:$I$501,'Plan rashoda za unos u SAP'!$C$3:$C$501,"=561",'Plan rashoda za unos u SAP'!$M$3:$M$501,"=362")+SUMIFS('ANALITIKA EU PROJEKATA'!$G$3:$G$501,'ANALITIKA EU PROJEKATA'!$A$3:$A$501,"=561",'ANALITIKA EU PROJEKATA'!$P$3:$P$501,"=362")</f>
        <v>0</v>
      </c>
      <c r="O25" s="138">
        <f>SUMIFS('Plan rashoda za unos u SAP'!$I$3:$I$501,'Plan rashoda za unos u SAP'!$C$3:$C$501,"=563",'Plan rashoda za unos u SAP'!$M$3:$M$501,"=362")+SUMIFS('ANALITIKA EU PROJEKATA'!$G$3:$G$501,'ANALITIKA EU PROJEKATA'!$A$3:$A$501,"=563",'ANALITIKA EU PROJEKATA'!$P$3:$P$501,"=362")</f>
        <v>0</v>
      </c>
      <c r="P25" s="138">
        <f>SUMIFS('Plan rashoda za unos u SAP'!$I$3:$I$501,'Plan rashoda za unos u SAP'!$C$3:$C$501,"=573",'Plan rashoda za unos u SAP'!$M$3:$M$501,"=362")+SUMIFS('ANALITIKA EU PROJEKATA'!$G$3:$G$501,'ANALITIKA EU PROJEKATA'!$A$3:$A$501,"=573",'ANALITIKA EU PROJEKATA'!$P$3:$P$501,"=362")</f>
        <v>0</v>
      </c>
      <c r="Q25" s="138">
        <f>SUMIFS('Plan rashoda za unos u SAP'!$I$3:$I$501,'Plan rashoda za unos u SAP'!$C$3:$C$501,"=575",'Plan rashoda za unos u SAP'!$M$3:$M$501,"=362")+SUMIFS('ANALITIKA EU PROJEKATA'!$G$3:$G$501,'ANALITIKA EU PROJEKATA'!$A$3:$A$501,"=575",'ANALITIKA EU PROJEKATA'!$P$3:$P$501,"=362")</f>
        <v>0</v>
      </c>
      <c r="R25" s="138">
        <f>SUMIFS('Plan rashoda za unos u SAP'!$I$3:$I$501,'Plan rashoda za unos u SAP'!$C$3:$C$501,"=576",'Plan rashoda za unos u SAP'!$M$3:$M$501,"=362")+SUMIFS('ANALITIKA EU PROJEKATA'!$G$3:$G$501,'ANALITIKA EU PROJEKATA'!$A$3:$A$501,"=576",'ANALITIKA EU PROJEKATA'!$P$3:$P$501,"=362")</f>
        <v>0</v>
      </c>
      <c r="S25" s="138">
        <f>SUMIFS('Plan rashoda za unos u SAP'!$I$3:$I$501,'Plan rashoda za unos u SAP'!$C$3:$C$501,"=581",'Plan rashoda za unos u SAP'!$M$3:$M$501,"=362")+SUMIFS('ANALITIKA EU PROJEKATA'!$G$3:$G$501,'ANALITIKA EU PROJEKATA'!$A$3:$A$501,"=581",'ANALITIKA EU PROJEKATA'!$P$3:$P$501,"=362")</f>
        <v>0</v>
      </c>
      <c r="T25" s="138">
        <f>SUMIFS('Plan rashoda za unos u SAP'!$I$3:$I$501,'Plan rashoda za unos u SAP'!$C$3:$C$501,"=61",'Plan rashoda za unos u SAP'!$M$3:$M$501,"=362")+SUMIFS('ANALITIKA EU PROJEKATA'!$G$3:$G$501,'ANALITIKA EU PROJEKATA'!$A$3:$A$501,"=61",'ANALITIKA EU PROJEKATA'!$P$3:$P$501,"=362")</f>
        <v>0</v>
      </c>
      <c r="U25" s="138">
        <f>SUMIFS('Plan rashoda za unos u SAP'!$I$3:$I$501,'Plan rashoda za unos u SAP'!$C$3:$C$501,"=63",'Plan rashoda za unos u SAP'!$M$3:$M$501,"=362")+SUMIFS('ANALITIKA EU PROJEKATA'!$G$3:$G$501,'ANALITIKA EU PROJEKATA'!$A$3:$A$501,"=63",'ANALITIKA EU PROJEKATA'!$P$3:$P$501,"=362")</f>
        <v>0</v>
      </c>
      <c r="V25" s="138">
        <f>SUMIFS('Plan rashoda za unos u SAP'!$I$3:$I$501,'Plan rashoda za unos u SAP'!$C$3:$C$501,"=71",'Plan rashoda za unos u SAP'!$M$3:$M$501,"=362")+SUMIFS('ANALITIKA EU PROJEKATA'!$G$3:$G$501,'ANALITIKA EU PROJEKATA'!$A$3:$A$501,"=71",'ANALITIKA EU PROJEKATA'!$P$3:$P$501,"=362")</f>
        <v>0</v>
      </c>
      <c r="W25" s="138">
        <f>SUMIFS('Plan rashoda za unos u SAP'!$I$3:$I$501,'Plan rashoda za unos u SAP'!$C$3:$C$501,"=81",'Plan rashoda za unos u SAP'!$M$3:$M$501,"=362")+SUMIFS('ANALITIKA EU PROJEKATA'!$G$3:$G$501,'ANALITIKA EU PROJEKATA'!$A$3:$A$501,"=81",'ANALITIKA EU PROJEKATA'!$P$3:$P$501,"=362")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326</v>
      </c>
      <c r="D26" s="14">
        <f t="shared" si="0"/>
        <v>0</v>
      </c>
      <c r="E26" s="138">
        <f>SUMIFS('Plan rashoda za unos u SAP'!$I$3:$I$501,'Plan rashoda za unos u SAP'!$C$3:$C$501,"=11",'Plan rashoda za unos u SAP'!$M$3:$M$501,"=363")+SUMIFS('ANALITIKA EU PROJEKATA'!$G$3:$G$501,'ANALITIKA EU PROJEKATA'!$A$3:$A$501,"=11",'ANALITIKA EU PROJEKATA'!$P$3:$P$501,"=363")</f>
        <v>0</v>
      </c>
      <c r="F26" s="138">
        <f>SUMIFS('Plan rashoda za unos u SAP'!$I$3:$I$501,'Plan rashoda za unos u SAP'!$C$3:$C$501,"=12",'Plan rashoda za unos u SAP'!$M$3:$M$501,"=363")+SUMIFS('ANALITIKA EU PROJEKATA'!$G$3:$G$501,'ANALITIKA EU PROJEKATA'!$A$3:$A$501,"=12",'ANALITIKA EU PROJEKATA'!$P$3:$P$501,"=363")</f>
        <v>0</v>
      </c>
      <c r="G26" s="138">
        <f>SUMIFS('Plan rashoda za unos u SAP'!$I$3:$I$501,'Plan rashoda za unos u SAP'!$C$3:$C$501,"=31",'Plan rashoda za unos u SAP'!$M$3:$M$501,"=363")+SUMIFS('ANALITIKA EU PROJEKATA'!$G$3:$G$501,'ANALITIKA EU PROJEKATA'!$A$3:$A$501,"=31",'ANALITIKA EU PROJEKATA'!$P$3:$P$501,"=363")</f>
        <v>0</v>
      </c>
      <c r="H26" s="138">
        <f>SUMIFS('Plan rashoda za unos u SAP'!$I$3:$I$501,'Plan rashoda za unos u SAP'!$C$3:$C$501,"=41",'Plan rashoda za unos u SAP'!$M$3:$M$501,"=363")+SUMIFS('ANALITIKA EU PROJEKATA'!$G$3:$G$501,'ANALITIKA EU PROJEKATA'!$A$3:$A$501,"=41",'ANALITIKA EU PROJEKATA'!$P$3:$P$501,"=363")</f>
        <v>0</v>
      </c>
      <c r="I26" s="138">
        <f>SUMIFS('Plan rashoda za unos u SAP'!$I$3:$I$501,'Plan rashoda za unos u SAP'!$C$3:$C$501,"=43",'Plan rashoda za unos u SAP'!$M$3:$M$501,"=363")+SUMIFS('ANALITIKA EU PROJEKATA'!$G$3:$G$501,'ANALITIKA EU PROJEKATA'!$A$3:$A$501,"=43",'ANALITIKA EU PROJEKATA'!$P$3:$P$501,"=363")</f>
        <v>0</v>
      </c>
      <c r="J26" s="138">
        <f>SUMIFS('Plan rashoda za unos u SAP'!$I$3:$I$501,'Plan rashoda za unos u SAP'!$C$3:$C$501,"=51",'Plan rashoda za unos u SAP'!$M$3:$M$501,"=363")+SUMIFS('ANALITIKA EU PROJEKATA'!$G$3:$G$501,'ANALITIKA EU PROJEKATA'!$A$3:$A$501,"=51",'ANALITIKA EU PROJEKATA'!$P$3:$P$501,"=363")</f>
        <v>0</v>
      </c>
      <c r="K26" s="138">
        <f>SUMIFS('Plan rashoda za unos u SAP'!$I$3:$I$501,'Plan rashoda za unos u SAP'!$C$3:$C$501,"=52",'Plan rashoda za unos u SAP'!$M$3:$M$501,"=363")+SUMIFS('ANALITIKA EU PROJEKATA'!$G$3:$G$501,'ANALITIKA EU PROJEKATA'!$A$3:$A$501,"=52",'ANALITIKA EU PROJEKATA'!$P$3:$P$501,"=363")</f>
        <v>0</v>
      </c>
      <c r="L26" s="138">
        <f>SUMIFS('Plan rashoda za unos u SAP'!$I$3:$I$501,'Plan rashoda za unos u SAP'!$C$3:$C$501,"=552",'Plan rashoda za unos u SAP'!$M$3:$M$501,"=363")+SUMIFS('ANALITIKA EU PROJEKATA'!$G$3:$G$501,'ANALITIKA EU PROJEKATA'!$A$3:$A$501,"=552",'ANALITIKA EU PROJEKATA'!$P$3:$P$501,"=363")</f>
        <v>0</v>
      </c>
      <c r="M26" s="138">
        <f>SUMIFS('Plan rashoda za unos u SAP'!$I$3:$I$501,'Plan rashoda za unos u SAP'!$C$3:$C$501,"=559",'Plan rashoda za unos u SAP'!$M$3:$M$501,"=363")+SUMIFS('ANALITIKA EU PROJEKATA'!$G$3:$G$501,'ANALITIKA EU PROJEKATA'!$A$3:$A$501,"=559",'ANALITIKA EU PROJEKATA'!$P$3:$P$501,"=363")</f>
        <v>0</v>
      </c>
      <c r="N26" s="138">
        <f>SUMIFS('Plan rashoda za unos u SAP'!$I$3:$I$501,'Plan rashoda za unos u SAP'!$C$3:$C$501,"=561",'Plan rashoda za unos u SAP'!$M$3:$M$501,"=363")+SUMIFS('ANALITIKA EU PROJEKATA'!$G$3:$G$501,'ANALITIKA EU PROJEKATA'!$A$3:$A$501,"=561",'ANALITIKA EU PROJEKATA'!$P$3:$P$501,"=363")</f>
        <v>0</v>
      </c>
      <c r="O26" s="138">
        <f>SUMIFS('Plan rashoda za unos u SAP'!$I$3:$I$501,'Plan rashoda za unos u SAP'!$C$3:$C$501,"=563",'Plan rashoda za unos u SAP'!$M$3:$M$501,"=363")+SUMIFS('ANALITIKA EU PROJEKATA'!$G$3:$G$501,'ANALITIKA EU PROJEKATA'!$A$3:$A$501,"=563",'ANALITIKA EU PROJEKATA'!$P$3:$P$501,"=363")</f>
        <v>0</v>
      </c>
      <c r="P26" s="138">
        <f>SUMIFS('Plan rashoda za unos u SAP'!$I$3:$I$501,'Plan rashoda za unos u SAP'!$C$3:$C$501,"=573",'Plan rashoda za unos u SAP'!$M$3:$M$501,"=363")+SUMIFS('ANALITIKA EU PROJEKATA'!$G$3:$G$501,'ANALITIKA EU PROJEKATA'!$A$3:$A$501,"=573",'ANALITIKA EU PROJEKATA'!$P$3:$P$501,"=363")</f>
        <v>0</v>
      </c>
      <c r="Q26" s="138">
        <f>SUMIFS('Plan rashoda za unos u SAP'!$I$3:$I$501,'Plan rashoda za unos u SAP'!$C$3:$C$501,"=575",'Plan rashoda za unos u SAP'!$M$3:$M$501,"=363")+SUMIFS('ANALITIKA EU PROJEKATA'!$G$3:$G$501,'ANALITIKA EU PROJEKATA'!$A$3:$A$501,"=575",'ANALITIKA EU PROJEKATA'!$P$3:$P$501,"=363")</f>
        <v>0</v>
      </c>
      <c r="R26" s="138">
        <f>SUMIFS('Plan rashoda za unos u SAP'!$I$3:$I$501,'Plan rashoda za unos u SAP'!$C$3:$C$501,"=576",'Plan rashoda za unos u SAP'!$M$3:$M$501,"=363")+SUMIFS('ANALITIKA EU PROJEKATA'!$G$3:$G$501,'ANALITIKA EU PROJEKATA'!$A$3:$A$501,"=576",'ANALITIKA EU PROJEKATA'!$P$3:$P$501,"=363")</f>
        <v>0</v>
      </c>
      <c r="S26" s="138">
        <f>SUMIFS('Plan rashoda za unos u SAP'!$I$3:$I$501,'Plan rashoda za unos u SAP'!$C$3:$C$501,"=581",'Plan rashoda za unos u SAP'!$M$3:$M$501,"=363")+SUMIFS('ANALITIKA EU PROJEKATA'!$G$3:$G$501,'ANALITIKA EU PROJEKATA'!$A$3:$A$501,"=581",'ANALITIKA EU PROJEKATA'!$P$3:$P$501,"=363")</f>
        <v>0</v>
      </c>
      <c r="T26" s="138">
        <f>SUMIFS('Plan rashoda za unos u SAP'!$I$3:$I$501,'Plan rashoda za unos u SAP'!$C$3:$C$501,"=61",'Plan rashoda za unos u SAP'!$M$3:$M$501,"=363")+SUMIFS('ANALITIKA EU PROJEKATA'!$G$3:$G$501,'ANALITIKA EU PROJEKATA'!$A$3:$A$501,"=61",'ANALITIKA EU PROJEKATA'!$P$3:$P$501,"=363")</f>
        <v>0</v>
      </c>
      <c r="U26" s="138">
        <f>SUMIFS('Plan rashoda za unos u SAP'!$I$3:$I$501,'Plan rashoda za unos u SAP'!$C$3:$C$501,"=63",'Plan rashoda za unos u SAP'!$M$3:$M$501,"=363")+SUMIFS('ANALITIKA EU PROJEKATA'!$G$3:$G$501,'ANALITIKA EU PROJEKATA'!$A$3:$A$501,"=63",'ANALITIKA EU PROJEKATA'!$P$3:$P$501,"=363")</f>
        <v>0</v>
      </c>
      <c r="V26" s="138">
        <f>SUMIFS('Plan rashoda za unos u SAP'!$I$3:$I$501,'Plan rashoda za unos u SAP'!$C$3:$C$501,"=71",'Plan rashoda za unos u SAP'!$M$3:$M$501,"=363")+SUMIFS('ANALITIKA EU PROJEKATA'!$G$3:$G$501,'ANALITIKA EU PROJEKATA'!$A$3:$A$501,"=71",'ANALITIKA EU PROJEKATA'!$P$3:$P$501,"=363")</f>
        <v>0</v>
      </c>
      <c r="W26" s="138">
        <f>SUMIFS('Plan rashoda za unos u SAP'!$I$3:$I$501,'Plan rashoda za unos u SAP'!$C$3:$C$501,"=81",'Plan rashoda za unos u SAP'!$M$3:$M$501,"=363")+SUMIFS('ANALITIKA EU PROJEKATA'!$G$3:$G$501,'ANALITIKA EU PROJEKATA'!$A$3:$A$501,"=81",'ANALITIKA EU PROJEKATA'!$P$3:$P$501,"=363")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327</v>
      </c>
      <c r="D27" s="14">
        <f t="shared" si="0"/>
        <v>0</v>
      </c>
      <c r="E27" s="138">
        <f>SUMIFS('Plan rashoda za unos u SAP'!$I$3:$I$501,'Plan rashoda za unos u SAP'!$C$3:$C$501,"=11",'Plan rashoda za unos u SAP'!$M$3:$M$501,"=366")+SUMIFS('ANALITIKA EU PROJEKATA'!$G$3:$G$501,'ANALITIKA EU PROJEKATA'!$A$3:$A$501,"=11",'ANALITIKA EU PROJEKATA'!$P$3:$P$501,"=366")</f>
        <v>0</v>
      </c>
      <c r="F27" s="138">
        <f>SUMIFS('Plan rashoda za unos u SAP'!$I$3:$I$501,'Plan rashoda za unos u SAP'!$C$3:$C$501,"=12",'Plan rashoda za unos u SAP'!$M$3:$M$501,"=366")+SUMIFS('ANALITIKA EU PROJEKATA'!$G$3:$G$501,'ANALITIKA EU PROJEKATA'!$A$3:$A$501,"=12",'ANALITIKA EU PROJEKATA'!$P$3:$P$501,"=366")</f>
        <v>0</v>
      </c>
      <c r="G27" s="138">
        <f>SUMIFS('Plan rashoda za unos u SAP'!$I$3:$I$501,'Plan rashoda za unos u SAP'!$C$3:$C$501,"=31",'Plan rashoda za unos u SAP'!$M$3:$M$501,"=366")+SUMIFS('ANALITIKA EU PROJEKATA'!$G$3:$G$501,'ANALITIKA EU PROJEKATA'!$A$3:$A$501,"=31",'ANALITIKA EU PROJEKATA'!$P$3:$P$501,"=366")</f>
        <v>0</v>
      </c>
      <c r="H27" s="138">
        <f>SUMIFS('Plan rashoda za unos u SAP'!$I$3:$I$501,'Plan rashoda za unos u SAP'!$C$3:$C$501,"=41",'Plan rashoda za unos u SAP'!$M$3:$M$501,"=366")+SUMIFS('ANALITIKA EU PROJEKATA'!$G$3:$G$501,'ANALITIKA EU PROJEKATA'!$A$3:$A$501,"=41",'ANALITIKA EU PROJEKATA'!$P$3:$P$501,"=366")</f>
        <v>0</v>
      </c>
      <c r="I27" s="138">
        <f>SUMIFS('Plan rashoda za unos u SAP'!$I$3:$I$501,'Plan rashoda za unos u SAP'!$C$3:$C$501,"=43",'Plan rashoda za unos u SAP'!$M$3:$M$501,"=366")+SUMIFS('ANALITIKA EU PROJEKATA'!$G$3:$G$501,'ANALITIKA EU PROJEKATA'!$A$3:$A$501,"=43",'ANALITIKA EU PROJEKATA'!$P$3:$P$501,"=366")</f>
        <v>0</v>
      </c>
      <c r="J27" s="138">
        <f>SUMIFS('Plan rashoda za unos u SAP'!$I$3:$I$501,'Plan rashoda za unos u SAP'!$C$3:$C$501,"=51",'Plan rashoda za unos u SAP'!$M$3:$M$501,"=366")+SUMIFS('ANALITIKA EU PROJEKATA'!$G$3:$G$501,'ANALITIKA EU PROJEKATA'!$A$3:$A$501,"=51",'ANALITIKA EU PROJEKATA'!$P$3:$P$501,"=366")</f>
        <v>0</v>
      </c>
      <c r="K27" s="138">
        <f>SUMIFS('Plan rashoda za unos u SAP'!$I$3:$I$501,'Plan rashoda za unos u SAP'!$C$3:$C$501,"=52",'Plan rashoda za unos u SAP'!$M$3:$M$501,"=366")+SUMIFS('ANALITIKA EU PROJEKATA'!$G$3:$G$501,'ANALITIKA EU PROJEKATA'!$A$3:$A$501,"=52",'ANALITIKA EU PROJEKATA'!$P$3:$P$501,"=366")</f>
        <v>0</v>
      </c>
      <c r="L27" s="138">
        <f>SUMIFS('Plan rashoda za unos u SAP'!$I$3:$I$501,'Plan rashoda za unos u SAP'!$C$3:$C$501,"=552",'Plan rashoda za unos u SAP'!$M$3:$M$501,"=366")+SUMIFS('ANALITIKA EU PROJEKATA'!$G$3:$G$501,'ANALITIKA EU PROJEKATA'!$A$3:$A$501,"=552",'ANALITIKA EU PROJEKATA'!$P$3:$P$501,"=366")</f>
        <v>0</v>
      </c>
      <c r="M27" s="138">
        <f>SUMIFS('Plan rashoda za unos u SAP'!$I$3:$I$501,'Plan rashoda za unos u SAP'!$C$3:$C$501,"=559",'Plan rashoda za unos u SAP'!$M$3:$M$501,"=366")+SUMIFS('ANALITIKA EU PROJEKATA'!$G$3:$G$501,'ANALITIKA EU PROJEKATA'!$A$3:$A$501,"=559",'ANALITIKA EU PROJEKATA'!$P$3:$P$501,"=366")</f>
        <v>0</v>
      </c>
      <c r="N27" s="138">
        <f>SUMIFS('Plan rashoda za unos u SAP'!$I$3:$I$501,'Plan rashoda za unos u SAP'!$C$3:$C$501,"=561",'Plan rashoda za unos u SAP'!$M$3:$M$501,"=366")+SUMIFS('ANALITIKA EU PROJEKATA'!$G$3:$G$501,'ANALITIKA EU PROJEKATA'!$A$3:$A$501,"=561",'ANALITIKA EU PROJEKATA'!$P$3:$P$501,"=366")</f>
        <v>0</v>
      </c>
      <c r="O27" s="138">
        <f>SUMIFS('Plan rashoda za unos u SAP'!$I$3:$I$501,'Plan rashoda za unos u SAP'!$C$3:$C$501,"=563",'Plan rashoda za unos u SAP'!$M$3:$M$501,"=366")+SUMIFS('ANALITIKA EU PROJEKATA'!$G$3:$G$501,'ANALITIKA EU PROJEKATA'!$A$3:$A$501,"=563",'ANALITIKA EU PROJEKATA'!$P$3:$P$501,"=366")</f>
        <v>0</v>
      </c>
      <c r="P27" s="138">
        <f>SUMIFS('Plan rashoda za unos u SAP'!$I$3:$I$501,'Plan rashoda za unos u SAP'!$C$3:$C$501,"=573",'Plan rashoda za unos u SAP'!$M$3:$M$501,"=366")+SUMIFS('ANALITIKA EU PROJEKATA'!$G$3:$G$501,'ANALITIKA EU PROJEKATA'!$A$3:$A$501,"=573",'ANALITIKA EU PROJEKATA'!$P$3:$P$501,"=366")</f>
        <v>0</v>
      </c>
      <c r="Q27" s="138">
        <f>SUMIFS('Plan rashoda za unos u SAP'!$I$3:$I$501,'Plan rashoda za unos u SAP'!$C$3:$C$501,"=575",'Plan rashoda za unos u SAP'!$M$3:$M$501,"=366")+SUMIFS('ANALITIKA EU PROJEKATA'!$G$3:$G$501,'ANALITIKA EU PROJEKATA'!$A$3:$A$501,"=575",'ANALITIKA EU PROJEKATA'!$P$3:$P$501,"=366")</f>
        <v>0</v>
      </c>
      <c r="R27" s="138">
        <f>SUMIFS('Plan rashoda za unos u SAP'!$I$3:$I$501,'Plan rashoda za unos u SAP'!$C$3:$C$501,"=576",'Plan rashoda za unos u SAP'!$M$3:$M$501,"=366")+SUMIFS('ANALITIKA EU PROJEKATA'!$G$3:$G$501,'ANALITIKA EU PROJEKATA'!$A$3:$A$501,"=576",'ANALITIKA EU PROJEKATA'!$P$3:$P$501,"=366")</f>
        <v>0</v>
      </c>
      <c r="S27" s="138">
        <f>SUMIFS('Plan rashoda za unos u SAP'!$I$3:$I$501,'Plan rashoda za unos u SAP'!$C$3:$C$501,"=581",'Plan rashoda za unos u SAP'!$M$3:$M$501,"=366")+SUMIFS('ANALITIKA EU PROJEKATA'!$G$3:$G$501,'ANALITIKA EU PROJEKATA'!$A$3:$A$501,"=581",'ANALITIKA EU PROJEKATA'!$P$3:$P$501,"=366")</f>
        <v>0</v>
      </c>
      <c r="T27" s="138">
        <f>SUMIFS('Plan rashoda za unos u SAP'!$I$3:$I$501,'Plan rashoda za unos u SAP'!$C$3:$C$501,"=61",'Plan rashoda za unos u SAP'!$M$3:$M$501,"=366")+SUMIFS('ANALITIKA EU PROJEKATA'!$G$3:$G$501,'ANALITIKA EU PROJEKATA'!$A$3:$A$501,"=61",'ANALITIKA EU PROJEKATA'!$P$3:$P$501,"=366")</f>
        <v>0</v>
      </c>
      <c r="U27" s="138">
        <f>SUMIFS('Plan rashoda za unos u SAP'!$I$3:$I$501,'Plan rashoda za unos u SAP'!$C$3:$C$501,"=63",'Plan rashoda za unos u SAP'!$M$3:$M$501,"=366")+SUMIFS('ANALITIKA EU PROJEKATA'!$G$3:$G$501,'ANALITIKA EU PROJEKATA'!$A$3:$A$501,"=63",'ANALITIKA EU PROJEKATA'!$P$3:$P$501,"=366")</f>
        <v>0</v>
      </c>
      <c r="V27" s="138">
        <f>SUMIFS('Plan rashoda za unos u SAP'!$I$3:$I$501,'Plan rashoda za unos u SAP'!$C$3:$C$501,"=71",'Plan rashoda za unos u SAP'!$M$3:$M$501,"=366")+SUMIFS('ANALITIKA EU PROJEKATA'!$G$3:$G$501,'ANALITIKA EU PROJEKATA'!$A$3:$A$501,"=71",'ANALITIKA EU PROJEKATA'!$P$3:$P$501,"=366")</f>
        <v>0</v>
      </c>
      <c r="W27" s="138">
        <f>SUMIFS('Plan rashoda za unos u SAP'!$I$3:$I$501,'Plan rashoda za unos u SAP'!$C$3:$C$501,"=81",'Plan rashoda za unos u SAP'!$M$3:$M$501,"=366")+SUMIFS('ANALITIKA EU PROJEKATA'!$G$3:$G$501,'ANALITIKA EU PROJEKATA'!$A$3:$A$501,"=81",'ANALITIKA EU PROJEKATA'!$P$3:$P$501,"=366")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282</v>
      </c>
      <c r="D28" s="14">
        <f t="shared" si="0"/>
        <v>0</v>
      </c>
      <c r="E28" s="138">
        <f>SUMIFS('Plan rashoda za unos u SAP'!$I$3:$I$501,'Plan rashoda za unos u SAP'!$C$3:$C$501,"=11",'Plan rashoda za unos u SAP'!$M$3:$M$501,"=368")+SUMIFS('ANALITIKA EU PROJEKATA'!$G$3:$G$501,'ANALITIKA EU PROJEKATA'!$A$3:$A$501,"=11",'ANALITIKA EU PROJEKATA'!$P$3:$P$501,"=368")</f>
        <v>0</v>
      </c>
      <c r="F28" s="138">
        <f>SUMIFS('Plan rashoda za unos u SAP'!$I$3:$I$501,'Plan rashoda za unos u SAP'!$C$3:$C$501,"=12",'Plan rashoda za unos u SAP'!$M$3:$M$501,"=368")+SUMIFS('ANALITIKA EU PROJEKATA'!$G$3:$G$501,'ANALITIKA EU PROJEKATA'!$A$3:$A$501,"=12",'ANALITIKA EU PROJEKATA'!$P$3:$P$501,"=368")</f>
        <v>0</v>
      </c>
      <c r="G28" s="138">
        <f>SUMIFS('Plan rashoda za unos u SAP'!$I$3:$I$501,'Plan rashoda za unos u SAP'!$C$3:$C$501,"=31",'Plan rashoda za unos u SAP'!$M$3:$M$501,"=368")+SUMIFS('ANALITIKA EU PROJEKATA'!$G$3:$G$501,'ANALITIKA EU PROJEKATA'!$A$3:$A$501,"=31",'ANALITIKA EU PROJEKATA'!$P$3:$P$501,"=368")</f>
        <v>0</v>
      </c>
      <c r="H28" s="138">
        <f>SUMIFS('Plan rashoda za unos u SAP'!$I$3:$I$501,'Plan rashoda za unos u SAP'!$C$3:$C$501,"=41",'Plan rashoda za unos u SAP'!$M$3:$M$501,"=368")+SUMIFS('ANALITIKA EU PROJEKATA'!$G$3:$G$501,'ANALITIKA EU PROJEKATA'!$A$3:$A$501,"=41",'ANALITIKA EU PROJEKATA'!$P$3:$P$501,"=368")</f>
        <v>0</v>
      </c>
      <c r="I28" s="138">
        <f>SUMIFS('Plan rashoda za unos u SAP'!$I$3:$I$501,'Plan rashoda za unos u SAP'!$C$3:$C$501,"=43",'Plan rashoda za unos u SAP'!$M$3:$M$501,"=368")+SUMIFS('ANALITIKA EU PROJEKATA'!$G$3:$G$501,'ANALITIKA EU PROJEKATA'!$A$3:$A$501,"=43",'ANALITIKA EU PROJEKATA'!$P$3:$P$501,"=368")</f>
        <v>0</v>
      </c>
      <c r="J28" s="138">
        <f>SUMIFS('Plan rashoda za unos u SAP'!$I$3:$I$501,'Plan rashoda za unos u SAP'!$C$3:$C$501,"=51",'Plan rashoda za unos u SAP'!$M$3:$M$501,"=368")+SUMIFS('ANALITIKA EU PROJEKATA'!$G$3:$G$501,'ANALITIKA EU PROJEKATA'!$A$3:$A$501,"=51",'ANALITIKA EU PROJEKATA'!$P$3:$P$501,"=368")</f>
        <v>0</v>
      </c>
      <c r="K28" s="138">
        <f>SUMIFS('Plan rashoda za unos u SAP'!$I$3:$I$501,'Plan rashoda za unos u SAP'!$C$3:$C$501,"=52",'Plan rashoda za unos u SAP'!$M$3:$M$501,"=368")+SUMIFS('ANALITIKA EU PROJEKATA'!$G$3:$G$501,'ANALITIKA EU PROJEKATA'!$A$3:$A$501,"=52",'ANALITIKA EU PROJEKATA'!$P$3:$P$501,"=368")</f>
        <v>0</v>
      </c>
      <c r="L28" s="138">
        <f>SUMIFS('Plan rashoda za unos u SAP'!$I$3:$I$501,'Plan rashoda za unos u SAP'!$C$3:$C$501,"=552",'Plan rashoda za unos u SAP'!$M$3:$M$501,"=368")+SUMIFS('ANALITIKA EU PROJEKATA'!$G$3:$G$501,'ANALITIKA EU PROJEKATA'!$A$3:$A$501,"=552",'ANALITIKA EU PROJEKATA'!$P$3:$P$501,"=368")</f>
        <v>0</v>
      </c>
      <c r="M28" s="138">
        <f>SUMIFS('Plan rashoda za unos u SAP'!$I$3:$I$501,'Plan rashoda za unos u SAP'!$C$3:$C$501,"=559",'Plan rashoda za unos u SAP'!$M$3:$M$501,"=368")+SUMIFS('ANALITIKA EU PROJEKATA'!$G$3:$G$501,'ANALITIKA EU PROJEKATA'!$A$3:$A$501,"=559",'ANALITIKA EU PROJEKATA'!$P$3:$P$501,"=368")</f>
        <v>0</v>
      </c>
      <c r="N28" s="138">
        <f>SUMIFS('Plan rashoda za unos u SAP'!$I$3:$I$501,'Plan rashoda za unos u SAP'!$C$3:$C$501,"=561",'Plan rashoda za unos u SAP'!$M$3:$M$501,"=368")+SUMIFS('ANALITIKA EU PROJEKATA'!$G$3:$G$501,'ANALITIKA EU PROJEKATA'!$A$3:$A$501,"=561",'ANALITIKA EU PROJEKATA'!$P$3:$P$501,"=368")</f>
        <v>0</v>
      </c>
      <c r="O28" s="138">
        <f>SUMIFS('Plan rashoda za unos u SAP'!$I$3:$I$501,'Plan rashoda za unos u SAP'!$C$3:$C$501,"=563",'Plan rashoda za unos u SAP'!$M$3:$M$501,"=368")+SUMIFS('ANALITIKA EU PROJEKATA'!$G$3:$G$501,'ANALITIKA EU PROJEKATA'!$A$3:$A$501,"=563",'ANALITIKA EU PROJEKATA'!$P$3:$P$501,"=368")</f>
        <v>0</v>
      </c>
      <c r="P28" s="138">
        <f>SUMIFS('Plan rashoda za unos u SAP'!$I$3:$I$501,'Plan rashoda za unos u SAP'!$C$3:$C$501,"=573",'Plan rashoda za unos u SAP'!$M$3:$M$501,"=368")+SUMIFS('ANALITIKA EU PROJEKATA'!$G$3:$G$501,'ANALITIKA EU PROJEKATA'!$A$3:$A$501,"=573",'ANALITIKA EU PROJEKATA'!$P$3:$P$501,"=368")</f>
        <v>0</v>
      </c>
      <c r="Q28" s="138">
        <f>SUMIFS('Plan rashoda za unos u SAP'!$I$3:$I$501,'Plan rashoda za unos u SAP'!$C$3:$C$501,"=575",'Plan rashoda za unos u SAP'!$M$3:$M$501,"=368")+SUMIFS('ANALITIKA EU PROJEKATA'!$G$3:$G$501,'ANALITIKA EU PROJEKATA'!$A$3:$A$501,"=575",'ANALITIKA EU PROJEKATA'!$P$3:$P$501,"=368")</f>
        <v>0</v>
      </c>
      <c r="R28" s="138">
        <f>SUMIFS('Plan rashoda za unos u SAP'!$I$3:$I$501,'Plan rashoda za unos u SAP'!$C$3:$C$501,"=576",'Plan rashoda za unos u SAP'!$M$3:$M$501,"=368")+SUMIFS('ANALITIKA EU PROJEKATA'!$G$3:$G$501,'ANALITIKA EU PROJEKATA'!$A$3:$A$501,"=576",'ANALITIKA EU PROJEKATA'!$P$3:$P$501,"=368")</f>
        <v>0</v>
      </c>
      <c r="S28" s="138">
        <f>SUMIFS('Plan rashoda za unos u SAP'!$I$3:$I$501,'Plan rashoda za unos u SAP'!$C$3:$C$501,"=581",'Plan rashoda za unos u SAP'!$M$3:$M$501,"=368")+SUMIFS('ANALITIKA EU PROJEKATA'!$G$3:$G$501,'ANALITIKA EU PROJEKATA'!$A$3:$A$501,"=581",'ANALITIKA EU PROJEKATA'!$P$3:$P$501,"=368")</f>
        <v>0</v>
      </c>
      <c r="T28" s="138">
        <f>SUMIFS('Plan rashoda za unos u SAP'!$I$3:$I$501,'Plan rashoda za unos u SAP'!$C$3:$C$501,"=61",'Plan rashoda za unos u SAP'!$M$3:$M$501,"=368")+SUMIFS('ANALITIKA EU PROJEKATA'!$G$3:$G$501,'ANALITIKA EU PROJEKATA'!$A$3:$A$501,"=61",'ANALITIKA EU PROJEKATA'!$P$3:$P$501,"=368")</f>
        <v>0</v>
      </c>
      <c r="U28" s="138">
        <f>SUMIFS('Plan rashoda za unos u SAP'!$I$3:$I$501,'Plan rashoda za unos u SAP'!$C$3:$C$501,"=63",'Plan rashoda za unos u SAP'!$M$3:$M$501,"=368")+SUMIFS('ANALITIKA EU PROJEKATA'!$G$3:$G$501,'ANALITIKA EU PROJEKATA'!$A$3:$A$501,"=63",'ANALITIKA EU PROJEKATA'!$P$3:$P$501,"=368")</f>
        <v>0</v>
      </c>
      <c r="V28" s="138">
        <f>SUMIFS('Plan rashoda za unos u SAP'!$I$3:$I$501,'Plan rashoda za unos u SAP'!$C$3:$C$501,"=71",'Plan rashoda za unos u SAP'!$M$3:$M$501,"=368")+SUMIFS('ANALITIKA EU PROJEKATA'!$G$3:$G$501,'ANALITIKA EU PROJEKATA'!$A$3:$A$501,"=71",'ANALITIKA EU PROJEKATA'!$P$3:$P$501,"=368")</f>
        <v>0</v>
      </c>
      <c r="W28" s="138">
        <f>SUMIFS('Plan rashoda za unos u SAP'!$I$3:$I$501,'Plan rashoda za unos u SAP'!$C$3:$C$501,"=81",'Plan rashoda za unos u SAP'!$M$3:$M$501,"=368")+SUMIFS('ANALITIKA EU PROJEKATA'!$G$3:$G$501,'ANALITIKA EU PROJEKATA'!$A$3:$A$501,"=81",'ANALITIKA EU PROJEKATA'!$P$3:$P$501,"=368")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0"/>
        <v>0</v>
      </c>
      <c r="E29" s="138">
        <f>SUMIFS('Plan rashoda za unos u SAP'!$I$3:$I$501,'Plan rashoda za unos u SAP'!$C$3:$C$501,"=11",'Plan rashoda za unos u SAP'!$M$3:$M$501,"=369")+SUMIFS('ANALITIKA EU PROJEKATA'!$G$3:$G$501,'ANALITIKA EU PROJEKATA'!$A$3:$A$501,"=11",'ANALITIKA EU PROJEKATA'!$P$3:$P$501,"=369")</f>
        <v>0</v>
      </c>
      <c r="F29" s="138">
        <f>SUMIFS('Plan rashoda za unos u SAP'!$I$3:$I$501,'Plan rashoda za unos u SAP'!$C$3:$C$501,"=12",'Plan rashoda za unos u SAP'!$M$3:$M$501,"=369")+SUMIFS('ANALITIKA EU PROJEKATA'!$G$3:$G$501,'ANALITIKA EU PROJEKATA'!$A$3:$A$501,"=12",'ANALITIKA EU PROJEKATA'!$P$3:$P$501,"=369")</f>
        <v>0</v>
      </c>
      <c r="G29" s="138">
        <f>SUMIFS('Plan rashoda za unos u SAP'!$I$3:$I$501,'Plan rashoda za unos u SAP'!$C$3:$C$501,"=31",'Plan rashoda za unos u SAP'!$M$3:$M$501,"=369")+SUMIFS('ANALITIKA EU PROJEKATA'!$G$3:$G$501,'ANALITIKA EU PROJEKATA'!$A$3:$A$501,"=31",'ANALITIKA EU PROJEKATA'!$P$3:$P$501,"=369")</f>
        <v>0</v>
      </c>
      <c r="H29" s="138">
        <f>SUMIFS('Plan rashoda za unos u SAP'!$I$3:$I$501,'Plan rashoda za unos u SAP'!$C$3:$C$501,"=41",'Plan rashoda za unos u SAP'!$M$3:$M$501,"=369")+SUMIFS('ANALITIKA EU PROJEKATA'!$G$3:$G$501,'ANALITIKA EU PROJEKATA'!$A$3:$A$501,"=41",'ANALITIKA EU PROJEKATA'!$P$3:$P$501,"=369")</f>
        <v>0</v>
      </c>
      <c r="I29" s="138">
        <f>SUMIFS('Plan rashoda za unos u SAP'!$I$3:$I$501,'Plan rashoda za unos u SAP'!$C$3:$C$501,"=43",'Plan rashoda za unos u SAP'!$M$3:$M$501,"=369")+SUMIFS('ANALITIKA EU PROJEKATA'!$G$3:$G$501,'ANALITIKA EU PROJEKATA'!$A$3:$A$501,"=43",'ANALITIKA EU PROJEKATA'!$P$3:$P$501,"=369")</f>
        <v>0</v>
      </c>
      <c r="J29" s="138">
        <f>SUMIFS('Plan rashoda za unos u SAP'!$I$3:$I$501,'Plan rashoda za unos u SAP'!$C$3:$C$501,"=51",'Plan rashoda za unos u SAP'!$M$3:$M$501,"=369")+SUMIFS('ANALITIKA EU PROJEKATA'!$G$3:$G$501,'ANALITIKA EU PROJEKATA'!$A$3:$A$501,"=51",'ANALITIKA EU PROJEKATA'!$P$3:$P$501,"=369")</f>
        <v>0</v>
      </c>
      <c r="K29" s="138">
        <f>SUMIFS('Plan rashoda za unos u SAP'!$I$3:$I$501,'Plan rashoda za unos u SAP'!$C$3:$C$501,"=52",'Plan rashoda za unos u SAP'!$M$3:$M$501,"=369")+SUMIFS('ANALITIKA EU PROJEKATA'!$G$3:$G$501,'ANALITIKA EU PROJEKATA'!$A$3:$A$501,"=52",'ANALITIKA EU PROJEKATA'!$P$3:$P$501,"=369")</f>
        <v>0</v>
      </c>
      <c r="L29" s="138">
        <f>SUMIFS('Plan rashoda za unos u SAP'!$I$3:$I$501,'Plan rashoda za unos u SAP'!$C$3:$C$501,"=552",'Plan rashoda za unos u SAP'!$M$3:$M$501,"=369")+SUMIFS('ANALITIKA EU PROJEKATA'!$G$3:$G$501,'ANALITIKA EU PROJEKATA'!$A$3:$A$501,"=552",'ANALITIKA EU PROJEKATA'!$P$3:$P$501,"=369")</f>
        <v>0</v>
      </c>
      <c r="M29" s="138">
        <f>SUMIFS('Plan rashoda za unos u SAP'!$I$3:$I$501,'Plan rashoda za unos u SAP'!$C$3:$C$501,"=559",'Plan rashoda za unos u SAP'!$M$3:$M$501,"=369")+SUMIFS('ANALITIKA EU PROJEKATA'!$G$3:$G$501,'ANALITIKA EU PROJEKATA'!$A$3:$A$501,"=559",'ANALITIKA EU PROJEKATA'!$P$3:$P$501,"=369")</f>
        <v>0</v>
      </c>
      <c r="N29" s="138">
        <f>SUMIFS('Plan rashoda za unos u SAP'!$I$3:$I$501,'Plan rashoda za unos u SAP'!$C$3:$C$501,"=561",'Plan rashoda za unos u SAP'!$M$3:$M$501,"=369")+SUMIFS('ANALITIKA EU PROJEKATA'!$G$3:$G$501,'ANALITIKA EU PROJEKATA'!$A$3:$A$501,"=561",'ANALITIKA EU PROJEKATA'!$P$3:$P$501,"=369")</f>
        <v>0</v>
      </c>
      <c r="O29" s="138">
        <f>SUMIFS('Plan rashoda za unos u SAP'!$I$3:$I$501,'Plan rashoda za unos u SAP'!$C$3:$C$501,"=563",'Plan rashoda za unos u SAP'!$M$3:$M$501,"=369")+SUMIFS('ANALITIKA EU PROJEKATA'!$G$3:$G$501,'ANALITIKA EU PROJEKATA'!$A$3:$A$501,"=563",'ANALITIKA EU PROJEKATA'!$P$3:$P$501,"=369")</f>
        <v>0</v>
      </c>
      <c r="P29" s="138">
        <f>SUMIFS('Plan rashoda za unos u SAP'!$I$3:$I$501,'Plan rashoda za unos u SAP'!$C$3:$C$501,"=573",'Plan rashoda za unos u SAP'!$M$3:$M$501,"=369")+SUMIFS('ANALITIKA EU PROJEKATA'!$G$3:$G$501,'ANALITIKA EU PROJEKATA'!$A$3:$A$501,"=573",'ANALITIKA EU PROJEKATA'!$P$3:$P$501,"=369")</f>
        <v>0</v>
      </c>
      <c r="Q29" s="138">
        <f>SUMIFS('Plan rashoda za unos u SAP'!$I$3:$I$501,'Plan rashoda za unos u SAP'!$C$3:$C$501,"=575",'Plan rashoda za unos u SAP'!$M$3:$M$501,"=369")+SUMIFS('ANALITIKA EU PROJEKATA'!$G$3:$G$501,'ANALITIKA EU PROJEKATA'!$A$3:$A$501,"=575",'ANALITIKA EU PROJEKATA'!$P$3:$P$501,"=369")</f>
        <v>0</v>
      </c>
      <c r="R29" s="138">
        <f>SUMIFS('Plan rashoda za unos u SAP'!$I$3:$I$501,'Plan rashoda za unos u SAP'!$C$3:$C$501,"=576",'Plan rashoda za unos u SAP'!$M$3:$M$501,"=369")+SUMIFS('ANALITIKA EU PROJEKATA'!$G$3:$G$501,'ANALITIKA EU PROJEKATA'!$A$3:$A$501,"=576",'ANALITIKA EU PROJEKATA'!$P$3:$P$501,"=369")</f>
        <v>0</v>
      </c>
      <c r="S29" s="138">
        <f>SUMIFS('Plan rashoda za unos u SAP'!$I$3:$I$501,'Plan rashoda za unos u SAP'!$C$3:$C$501,"=581",'Plan rashoda za unos u SAP'!$M$3:$M$501,"=369")+SUMIFS('ANALITIKA EU PROJEKATA'!$G$3:$G$501,'ANALITIKA EU PROJEKATA'!$A$3:$A$501,"=581",'ANALITIKA EU PROJEKATA'!$P$3:$P$501,"=369")</f>
        <v>0</v>
      </c>
      <c r="T29" s="138">
        <f>SUMIFS('Plan rashoda za unos u SAP'!$I$3:$I$501,'Plan rashoda za unos u SAP'!$C$3:$C$501,"=61",'Plan rashoda za unos u SAP'!$M$3:$M$501,"=369")+SUMIFS('ANALITIKA EU PROJEKATA'!$G$3:$G$501,'ANALITIKA EU PROJEKATA'!$A$3:$A$501,"=61",'ANALITIKA EU PROJEKATA'!$P$3:$P$501,"=369")</f>
        <v>0</v>
      </c>
      <c r="U29" s="138">
        <f>SUMIFS('Plan rashoda za unos u SAP'!$I$3:$I$501,'Plan rashoda za unos u SAP'!$C$3:$C$501,"=63",'Plan rashoda za unos u SAP'!$M$3:$M$501,"=369")+SUMIFS('ANALITIKA EU PROJEKATA'!$G$3:$G$501,'ANALITIKA EU PROJEKATA'!$A$3:$A$501,"=63",'ANALITIKA EU PROJEKATA'!$P$3:$P$501,"=369")</f>
        <v>0</v>
      </c>
      <c r="V29" s="138">
        <f>SUMIFS('Plan rashoda za unos u SAP'!$I$3:$I$501,'Plan rashoda za unos u SAP'!$C$3:$C$501,"=71",'Plan rashoda za unos u SAP'!$M$3:$M$501,"=369")+SUMIFS('ANALITIKA EU PROJEKATA'!$G$3:$G$501,'ANALITIKA EU PROJEKATA'!$A$3:$A$501,"=71",'ANALITIKA EU PROJEKATA'!$P$3:$P$501,"=369")</f>
        <v>0</v>
      </c>
      <c r="W29" s="138">
        <f>SUMIFS('Plan rashoda za unos u SAP'!$I$3:$I$501,'Plan rashoda za unos u SAP'!$C$3:$C$501,"=81",'Plan rashoda za unos u SAP'!$M$3:$M$501,"=369")+SUMIFS('ANALITIKA EU PROJEKATA'!$G$3:$G$501,'ANALITIKA EU PROJEKATA'!$A$3:$A$501,"=81",'ANALITIKA EU PROJEKATA'!$P$3:$P$501,"=369")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328</v>
      </c>
      <c r="D30" s="4">
        <f t="shared" si="0"/>
        <v>25000</v>
      </c>
      <c r="E30" s="4">
        <f t="shared" ref="E30:W30" si="8">SUM(E31:E32)</f>
        <v>0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25000</v>
      </c>
      <c r="J30" s="4">
        <f t="shared" si="8"/>
        <v>0</v>
      </c>
      <c r="K30" s="4">
        <f t="shared" si="8"/>
        <v>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>SUM(S31:S32)</f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329</v>
      </c>
      <c r="D31" s="14">
        <f t="shared" si="0"/>
        <v>0</v>
      </c>
      <c r="E31" s="138">
        <f>SUMIFS('Plan rashoda za unos u SAP'!$I$3:$I$501,'Plan rashoda za unos u SAP'!$C$3:$C$501,"=11",'Plan rashoda za unos u SAP'!$M$3:$M$501,"=371")+SUMIFS('ANALITIKA EU PROJEKATA'!$G$3:$G$501,'ANALITIKA EU PROJEKATA'!$A$3:$A$501,"=11",'ANALITIKA EU PROJEKATA'!$P$3:$P$501,"=371")</f>
        <v>0</v>
      </c>
      <c r="F31" s="138">
        <f>SUMIFS('Plan rashoda za unos u SAP'!$I$3:$I$501,'Plan rashoda za unos u SAP'!$C$3:$C$501,"=12",'Plan rashoda za unos u SAP'!$M$3:$M$501,"=371")+SUMIFS('ANALITIKA EU PROJEKATA'!$G$3:$G$501,'ANALITIKA EU PROJEKATA'!$A$3:$A$501,"=12",'ANALITIKA EU PROJEKATA'!$P$3:$P$501,"=371")</f>
        <v>0</v>
      </c>
      <c r="G31" s="138">
        <f>SUMIFS('Plan rashoda za unos u SAP'!$I$3:$I$501,'Plan rashoda za unos u SAP'!$C$3:$C$501,"=31",'Plan rashoda za unos u SAP'!$M$3:$M$501,"=371")+SUMIFS('ANALITIKA EU PROJEKATA'!$G$3:$G$501,'ANALITIKA EU PROJEKATA'!$A$3:$A$501,"=31",'ANALITIKA EU PROJEKATA'!$P$3:$P$501,"=371")</f>
        <v>0</v>
      </c>
      <c r="H31" s="138">
        <f>SUMIFS('Plan rashoda za unos u SAP'!$I$3:$I$501,'Plan rashoda za unos u SAP'!$C$3:$C$501,"=41",'Plan rashoda za unos u SAP'!$M$3:$M$501,"=371")+SUMIFS('ANALITIKA EU PROJEKATA'!$G$3:$G$501,'ANALITIKA EU PROJEKATA'!$A$3:$A$501,"=41",'ANALITIKA EU PROJEKATA'!$P$3:$P$501,"=371")</f>
        <v>0</v>
      </c>
      <c r="I31" s="138">
        <f>SUMIFS('Plan rashoda za unos u SAP'!$I$3:$I$501,'Plan rashoda za unos u SAP'!$C$3:$C$501,"=43",'Plan rashoda za unos u SAP'!$M$3:$M$501,"=371")+SUMIFS('ANALITIKA EU PROJEKATA'!$G$3:$G$501,'ANALITIKA EU PROJEKATA'!$A$3:$A$501,"=43",'ANALITIKA EU PROJEKATA'!$P$3:$P$501,"=371")</f>
        <v>0</v>
      </c>
      <c r="J31" s="138">
        <f>SUMIFS('Plan rashoda za unos u SAP'!$I$3:$I$501,'Plan rashoda za unos u SAP'!$C$3:$C$501,"=51",'Plan rashoda za unos u SAP'!$M$3:$M$501,"=371")+SUMIFS('ANALITIKA EU PROJEKATA'!$G$3:$G$501,'ANALITIKA EU PROJEKATA'!$A$3:$A$501,"=51",'ANALITIKA EU PROJEKATA'!$P$3:$P$501,"=371")</f>
        <v>0</v>
      </c>
      <c r="K31" s="138">
        <f>SUMIFS('Plan rashoda za unos u SAP'!$I$3:$I$501,'Plan rashoda za unos u SAP'!$C$3:$C$501,"=52",'Plan rashoda za unos u SAP'!$M$3:$M$501,"=371")+SUMIFS('ANALITIKA EU PROJEKATA'!$G$3:$G$501,'ANALITIKA EU PROJEKATA'!$A$3:$A$501,"=52",'ANALITIKA EU PROJEKATA'!$P$3:$P$501,"=371")</f>
        <v>0</v>
      </c>
      <c r="L31" s="138">
        <f>SUMIFS('Plan rashoda za unos u SAP'!$I$3:$I$501,'Plan rashoda za unos u SAP'!$C$3:$C$501,"=552",'Plan rashoda za unos u SAP'!$M$3:$M$501,"=371")+SUMIFS('ANALITIKA EU PROJEKATA'!$G$3:$G$501,'ANALITIKA EU PROJEKATA'!$A$3:$A$501,"=552",'ANALITIKA EU PROJEKATA'!$P$3:$P$501,"=371")</f>
        <v>0</v>
      </c>
      <c r="M31" s="138">
        <f>SUMIFS('Plan rashoda za unos u SAP'!$I$3:$I$501,'Plan rashoda za unos u SAP'!$C$3:$C$501,"=559",'Plan rashoda za unos u SAP'!$M$3:$M$501,"=371")+SUMIFS('ANALITIKA EU PROJEKATA'!$G$3:$G$501,'ANALITIKA EU PROJEKATA'!$A$3:$A$501,"=559",'ANALITIKA EU PROJEKATA'!$P$3:$P$501,"=371")</f>
        <v>0</v>
      </c>
      <c r="N31" s="138">
        <f>SUMIFS('Plan rashoda za unos u SAP'!$I$3:$I$501,'Plan rashoda za unos u SAP'!$C$3:$C$501,"=561",'Plan rashoda za unos u SAP'!$M$3:$M$501,"=371")+SUMIFS('ANALITIKA EU PROJEKATA'!$G$3:$G$501,'ANALITIKA EU PROJEKATA'!$A$3:$A$501,"=561",'ANALITIKA EU PROJEKATA'!$P$3:$P$501,"=371")</f>
        <v>0</v>
      </c>
      <c r="O31" s="138">
        <f>SUMIFS('Plan rashoda za unos u SAP'!$I$3:$I$501,'Plan rashoda za unos u SAP'!$C$3:$C$501,"=563",'Plan rashoda za unos u SAP'!$M$3:$M$501,"=371")+SUMIFS('ANALITIKA EU PROJEKATA'!$G$3:$G$501,'ANALITIKA EU PROJEKATA'!$A$3:$A$501,"=563",'ANALITIKA EU PROJEKATA'!$P$3:$P$501,"=371")</f>
        <v>0</v>
      </c>
      <c r="P31" s="138">
        <f>SUMIFS('Plan rashoda za unos u SAP'!$I$3:$I$501,'Plan rashoda za unos u SAP'!$C$3:$C$501,"=573",'Plan rashoda za unos u SAP'!$M$3:$M$501,"=371")+SUMIFS('ANALITIKA EU PROJEKATA'!$G$3:$G$501,'ANALITIKA EU PROJEKATA'!$A$3:$A$501,"=573",'ANALITIKA EU PROJEKATA'!$P$3:$P$501,"=371")</f>
        <v>0</v>
      </c>
      <c r="Q31" s="138">
        <f>SUMIFS('Plan rashoda za unos u SAP'!$I$3:$I$501,'Plan rashoda za unos u SAP'!$C$3:$C$501,"=575",'Plan rashoda za unos u SAP'!$M$3:$M$501,"=371")+SUMIFS('ANALITIKA EU PROJEKATA'!$G$3:$G$501,'ANALITIKA EU PROJEKATA'!$A$3:$A$501,"=575",'ANALITIKA EU PROJEKATA'!$P$3:$P$501,"=371")</f>
        <v>0</v>
      </c>
      <c r="R31" s="138">
        <f>SUMIFS('Plan rashoda za unos u SAP'!$I$3:$I$501,'Plan rashoda za unos u SAP'!$C$3:$C$501,"=576",'Plan rashoda za unos u SAP'!$M$3:$M$501,"=371")+SUMIFS('ANALITIKA EU PROJEKATA'!$G$3:$G$501,'ANALITIKA EU PROJEKATA'!$A$3:$A$501,"=576",'ANALITIKA EU PROJEKATA'!$P$3:$P$501,"=371")</f>
        <v>0</v>
      </c>
      <c r="S31" s="138">
        <f>SUMIFS('Plan rashoda za unos u SAP'!$I$3:$I$501,'Plan rashoda za unos u SAP'!$C$3:$C$501,"=581",'Plan rashoda za unos u SAP'!$M$3:$M$501,"=371")+SUMIFS('ANALITIKA EU PROJEKATA'!$G$3:$G$501,'ANALITIKA EU PROJEKATA'!$A$3:$A$501,"=581",'ANALITIKA EU PROJEKATA'!$P$3:$P$501,"=371")</f>
        <v>0</v>
      </c>
      <c r="T31" s="138">
        <f>SUMIFS('Plan rashoda za unos u SAP'!$I$3:$I$501,'Plan rashoda za unos u SAP'!$C$3:$C$501,"=61",'Plan rashoda za unos u SAP'!$M$3:$M$501,"=371")+SUMIFS('ANALITIKA EU PROJEKATA'!$G$3:$G$501,'ANALITIKA EU PROJEKATA'!$A$3:$A$501,"=61",'ANALITIKA EU PROJEKATA'!$P$3:$P$501,"=371")</f>
        <v>0</v>
      </c>
      <c r="U31" s="138">
        <f>SUMIFS('Plan rashoda za unos u SAP'!$I$3:$I$501,'Plan rashoda za unos u SAP'!$C$3:$C$501,"=63",'Plan rashoda za unos u SAP'!$M$3:$M$501,"=371")+SUMIFS('ANALITIKA EU PROJEKATA'!$G$3:$G$501,'ANALITIKA EU PROJEKATA'!$A$3:$A$501,"=63",'ANALITIKA EU PROJEKATA'!$P$3:$P$501,"=371")</f>
        <v>0</v>
      </c>
      <c r="V31" s="138">
        <f>SUMIFS('Plan rashoda za unos u SAP'!$I$3:$I$501,'Plan rashoda za unos u SAP'!$C$3:$C$501,"=71",'Plan rashoda za unos u SAP'!$M$3:$M$501,"=371")+SUMIFS('ANALITIKA EU PROJEKATA'!$G$3:$G$501,'ANALITIKA EU PROJEKATA'!$A$3:$A$501,"=71",'ANALITIKA EU PROJEKATA'!$P$3:$P$501,"=371")</f>
        <v>0</v>
      </c>
      <c r="W31" s="138">
        <f>SUMIFS('Plan rashoda za unos u SAP'!$I$3:$I$501,'Plan rashoda za unos u SAP'!$C$3:$C$501,"=81",'Plan rashoda za unos u SAP'!$M$3:$M$501,"=371")+SUMIFS('ANALITIKA EU PROJEKATA'!$G$3:$G$501,'ANALITIKA EU PROJEKATA'!$A$3:$A$501,"=81",'ANALITIKA EU PROJEKATA'!$P$3:$P$501,"=371")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210</v>
      </c>
      <c r="D32" s="14">
        <f t="shared" si="0"/>
        <v>25000</v>
      </c>
      <c r="E32" s="138">
        <f>SUMIFS('Plan rashoda za unos u SAP'!$I$3:$I$501,'Plan rashoda za unos u SAP'!$C$3:$C$501,"=11",'Plan rashoda za unos u SAP'!$M$3:$M$501,"=372")+SUMIFS('ANALITIKA EU PROJEKATA'!$G$3:$G$501,'ANALITIKA EU PROJEKATA'!$A$3:$A$501,"=11",'ANALITIKA EU PROJEKATA'!$P$3:$P$501,"=372")</f>
        <v>0</v>
      </c>
      <c r="F32" s="138">
        <f>SUMIFS('Plan rashoda za unos u SAP'!$I$3:$I$501,'Plan rashoda za unos u SAP'!$C$3:$C$501,"=12",'Plan rashoda za unos u SAP'!$M$3:$M$501,"=372")+SUMIFS('ANALITIKA EU PROJEKATA'!$G$3:$G$501,'ANALITIKA EU PROJEKATA'!$A$3:$A$501,"=12",'ANALITIKA EU PROJEKATA'!$P$3:$P$501,"=372")</f>
        <v>0</v>
      </c>
      <c r="G32" s="138">
        <f>SUMIFS('Plan rashoda za unos u SAP'!$I$3:$I$501,'Plan rashoda za unos u SAP'!$C$3:$C$501,"=31",'Plan rashoda za unos u SAP'!$M$3:$M$501,"=372")+SUMIFS('ANALITIKA EU PROJEKATA'!$G$3:$G$501,'ANALITIKA EU PROJEKATA'!$A$3:$A$501,"=31",'ANALITIKA EU PROJEKATA'!$P$3:$P$501,"=372")</f>
        <v>0</v>
      </c>
      <c r="H32" s="138">
        <f>SUMIFS('Plan rashoda za unos u SAP'!$I$3:$I$501,'Plan rashoda za unos u SAP'!$C$3:$C$501,"=41",'Plan rashoda za unos u SAP'!$M$3:$M$501,"=372")+SUMIFS('ANALITIKA EU PROJEKATA'!$G$3:$G$501,'ANALITIKA EU PROJEKATA'!$A$3:$A$501,"=41",'ANALITIKA EU PROJEKATA'!$P$3:$P$501,"=372")</f>
        <v>0</v>
      </c>
      <c r="I32" s="138">
        <f>SUMIFS('Plan rashoda za unos u SAP'!$I$3:$I$501,'Plan rashoda za unos u SAP'!$C$3:$C$501,"=43",'Plan rashoda za unos u SAP'!$M$3:$M$501,"=372")+SUMIFS('ANALITIKA EU PROJEKATA'!$G$3:$G$501,'ANALITIKA EU PROJEKATA'!$A$3:$A$501,"=43",'ANALITIKA EU PROJEKATA'!$P$3:$P$501,"=372")</f>
        <v>25000</v>
      </c>
      <c r="J32" s="138">
        <f>SUMIFS('Plan rashoda za unos u SAP'!$I$3:$I$501,'Plan rashoda za unos u SAP'!$C$3:$C$501,"=51",'Plan rashoda za unos u SAP'!$M$3:$M$501,"=372")+SUMIFS('ANALITIKA EU PROJEKATA'!$G$3:$G$501,'ANALITIKA EU PROJEKATA'!$A$3:$A$501,"=51",'ANALITIKA EU PROJEKATA'!$P$3:$P$501,"=372")</f>
        <v>0</v>
      </c>
      <c r="K32" s="138">
        <f>SUMIFS('Plan rashoda za unos u SAP'!$I$3:$I$501,'Plan rashoda za unos u SAP'!$C$3:$C$501,"=52",'Plan rashoda za unos u SAP'!$M$3:$M$501,"=372")+SUMIFS('ANALITIKA EU PROJEKATA'!$G$3:$G$501,'ANALITIKA EU PROJEKATA'!$A$3:$A$501,"=52",'ANALITIKA EU PROJEKATA'!$P$3:$P$501,"=372")</f>
        <v>0</v>
      </c>
      <c r="L32" s="138">
        <f>SUMIFS('Plan rashoda za unos u SAP'!$I$3:$I$501,'Plan rashoda za unos u SAP'!$C$3:$C$501,"=552",'Plan rashoda za unos u SAP'!$M$3:$M$501,"=372")+SUMIFS('ANALITIKA EU PROJEKATA'!$G$3:$G$501,'ANALITIKA EU PROJEKATA'!$A$3:$A$501,"=552",'ANALITIKA EU PROJEKATA'!$P$3:$P$501,"=372")</f>
        <v>0</v>
      </c>
      <c r="M32" s="138">
        <f>SUMIFS('Plan rashoda za unos u SAP'!$I$3:$I$501,'Plan rashoda za unos u SAP'!$C$3:$C$501,"=559",'Plan rashoda za unos u SAP'!$M$3:$M$501,"=372")+SUMIFS('ANALITIKA EU PROJEKATA'!$G$3:$G$501,'ANALITIKA EU PROJEKATA'!$A$3:$A$501,"=559",'ANALITIKA EU PROJEKATA'!$P$3:$P$501,"=372")</f>
        <v>0</v>
      </c>
      <c r="N32" s="138">
        <f>SUMIFS('Plan rashoda za unos u SAP'!$I$3:$I$501,'Plan rashoda za unos u SAP'!$C$3:$C$501,"=561",'Plan rashoda za unos u SAP'!$M$3:$M$501,"=372")+SUMIFS('ANALITIKA EU PROJEKATA'!$G$3:$G$501,'ANALITIKA EU PROJEKATA'!$A$3:$A$501,"=561",'ANALITIKA EU PROJEKATA'!$P$3:$P$501,"=372")</f>
        <v>0</v>
      </c>
      <c r="O32" s="138">
        <f>SUMIFS('Plan rashoda za unos u SAP'!$I$3:$I$501,'Plan rashoda za unos u SAP'!$C$3:$C$501,"=563",'Plan rashoda za unos u SAP'!$M$3:$M$501,"=372")+SUMIFS('ANALITIKA EU PROJEKATA'!$G$3:$G$501,'ANALITIKA EU PROJEKATA'!$A$3:$A$501,"=563",'ANALITIKA EU PROJEKATA'!$P$3:$P$501,"=372")</f>
        <v>0</v>
      </c>
      <c r="P32" s="138">
        <f>SUMIFS('Plan rashoda za unos u SAP'!$I$3:$I$501,'Plan rashoda za unos u SAP'!$C$3:$C$501,"=573",'Plan rashoda za unos u SAP'!$M$3:$M$501,"=372")+SUMIFS('ANALITIKA EU PROJEKATA'!$G$3:$G$501,'ANALITIKA EU PROJEKATA'!$A$3:$A$501,"=573",'ANALITIKA EU PROJEKATA'!$P$3:$P$501,"=372")</f>
        <v>0</v>
      </c>
      <c r="Q32" s="138">
        <f>SUMIFS('Plan rashoda za unos u SAP'!$I$3:$I$501,'Plan rashoda za unos u SAP'!$C$3:$C$501,"=575",'Plan rashoda za unos u SAP'!$M$3:$M$501,"=372")+SUMIFS('ANALITIKA EU PROJEKATA'!$G$3:$G$501,'ANALITIKA EU PROJEKATA'!$A$3:$A$501,"=575",'ANALITIKA EU PROJEKATA'!$P$3:$P$501,"=372")</f>
        <v>0</v>
      </c>
      <c r="R32" s="138">
        <f>SUMIFS('Plan rashoda za unos u SAP'!$I$3:$I$501,'Plan rashoda za unos u SAP'!$C$3:$C$501,"=576",'Plan rashoda za unos u SAP'!$M$3:$M$501,"=372")+SUMIFS('ANALITIKA EU PROJEKATA'!$G$3:$G$501,'ANALITIKA EU PROJEKATA'!$A$3:$A$501,"=576",'ANALITIKA EU PROJEKATA'!$P$3:$P$501,"=372")</f>
        <v>0</v>
      </c>
      <c r="S32" s="138">
        <f>SUMIFS('Plan rashoda za unos u SAP'!$I$3:$I$501,'Plan rashoda za unos u SAP'!$C$3:$C$501,"=581",'Plan rashoda za unos u SAP'!$M$3:$M$501,"=372")+SUMIFS('ANALITIKA EU PROJEKATA'!$G$3:$G$501,'ANALITIKA EU PROJEKATA'!$A$3:$A$501,"=581",'ANALITIKA EU PROJEKATA'!$P$3:$P$501,"=372")</f>
        <v>0</v>
      </c>
      <c r="T32" s="138">
        <f>SUMIFS('Plan rashoda za unos u SAP'!$I$3:$I$501,'Plan rashoda za unos u SAP'!$C$3:$C$501,"=61",'Plan rashoda za unos u SAP'!$M$3:$M$501,"=372")+SUMIFS('ANALITIKA EU PROJEKATA'!$G$3:$G$501,'ANALITIKA EU PROJEKATA'!$A$3:$A$501,"=61",'ANALITIKA EU PROJEKATA'!$P$3:$P$501,"=372")</f>
        <v>0</v>
      </c>
      <c r="U32" s="138">
        <f>SUMIFS('Plan rashoda za unos u SAP'!$I$3:$I$501,'Plan rashoda za unos u SAP'!$C$3:$C$501,"=63",'Plan rashoda za unos u SAP'!$M$3:$M$501,"=372")+SUMIFS('ANALITIKA EU PROJEKATA'!$G$3:$G$501,'ANALITIKA EU PROJEKATA'!$A$3:$A$501,"=63",'ANALITIKA EU PROJEKATA'!$P$3:$P$501,"=372")</f>
        <v>0</v>
      </c>
      <c r="V32" s="138">
        <f>SUMIFS('Plan rashoda za unos u SAP'!$I$3:$I$501,'Plan rashoda za unos u SAP'!$C$3:$C$501,"=71",'Plan rashoda za unos u SAP'!$M$3:$M$501,"=372")+SUMIFS('ANALITIKA EU PROJEKATA'!$G$3:$G$501,'ANALITIKA EU PROJEKATA'!$A$3:$A$501,"=71",'ANALITIKA EU PROJEKATA'!$P$3:$P$501,"=372")</f>
        <v>0</v>
      </c>
      <c r="W32" s="138">
        <f>SUMIFS('Plan rashoda za unos u SAP'!$I$3:$I$501,'Plan rashoda za unos u SAP'!$C$3:$C$501,"=81",'Plan rashoda za unos u SAP'!$M$3:$M$501,"=372")+SUMIFS('ANALITIKA EU PROJEKATA'!$G$3:$G$501,'ANALITIKA EU PROJEKATA'!$A$3:$A$501,"=81",'ANALITIKA EU PROJEKATA'!$P$3:$P$501,"=372")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211</v>
      </c>
      <c r="D33" s="4">
        <f t="shared" si="0"/>
        <v>33000</v>
      </c>
      <c r="E33" s="4">
        <f t="shared" ref="E33:W33" si="9">SUM(E34:E37)</f>
        <v>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33000</v>
      </c>
      <c r="J33" s="4">
        <f t="shared" si="9"/>
        <v>0</v>
      </c>
      <c r="K33" s="4">
        <f t="shared" si="9"/>
        <v>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>SUM(S34:S37)</f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212</v>
      </c>
      <c r="D34" s="14">
        <f t="shared" si="0"/>
        <v>33000</v>
      </c>
      <c r="E34" s="138">
        <f>SUMIFS('Plan rashoda za unos u SAP'!$I$3:$I$501,'Plan rashoda za unos u SAP'!$C$3:$C$501,"=11",'Plan rashoda za unos u SAP'!$M$3:$M$501,"=381")+SUMIFS('ANALITIKA EU PROJEKATA'!$G$3:$G$501,'ANALITIKA EU PROJEKATA'!$A$3:$A$501,"=11",'ANALITIKA EU PROJEKATA'!$P$3:$P$501,"=381")</f>
        <v>0</v>
      </c>
      <c r="F34" s="138">
        <f>SUMIFS('Plan rashoda za unos u SAP'!$I$3:$I$501,'Plan rashoda za unos u SAP'!$C$3:$C$501,"=12",'Plan rashoda za unos u SAP'!$M$3:$M$501,"=381")+SUMIFS('ANALITIKA EU PROJEKATA'!$G$3:$G$501,'ANALITIKA EU PROJEKATA'!$A$3:$A$501,"=12",'ANALITIKA EU PROJEKATA'!$P$3:$P$501,"=381")</f>
        <v>0</v>
      </c>
      <c r="G34" s="138">
        <f>SUMIFS('Plan rashoda za unos u SAP'!$I$3:$I$501,'Plan rashoda za unos u SAP'!$C$3:$C$501,"=31",'Plan rashoda za unos u SAP'!$M$3:$M$501,"=381")+SUMIFS('ANALITIKA EU PROJEKATA'!$G$3:$G$501,'ANALITIKA EU PROJEKATA'!$A$3:$A$501,"=31",'ANALITIKA EU PROJEKATA'!$P$3:$P$501,"=381")</f>
        <v>0</v>
      </c>
      <c r="H34" s="138">
        <f>SUMIFS('Plan rashoda za unos u SAP'!$I$3:$I$501,'Plan rashoda za unos u SAP'!$C$3:$C$501,"=41",'Plan rashoda za unos u SAP'!$M$3:$M$501,"=381")+SUMIFS('ANALITIKA EU PROJEKATA'!$G$3:$G$501,'ANALITIKA EU PROJEKATA'!$A$3:$A$501,"=41",'ANALITIKA EU PROJEKATA'!$P$3:$P$501,"=381")</f>
        <v>0</v>
      </c>
      <c r="I34" s="138">
        <f>SUMIFS('Plan rashoda za unos u SAP'!$I$3:$I$501,'Plan rashoda za unos u SAP'!$C$3:$C$501,"=43",'Plan rashoda za unos u SAP'!$M$3:$M$501,"=381")+SUMIFS('ANALITIKA EU PROJEKATA'!$G$3:$G$501,'ANALITIKA EU PROJEKATA'!$A$3:$A$501,"=43",'ANALITIKA EU PROJEKATA'!$P$3:$P$501,"=381")</f>
        <v>33000</v>
      </c>
      <c r="J34" s="138">
        <f>SUMIFS('Plan rashoda za unos u SAP'!$I$3:$I$501,'Plan rashoda za unos u SAP'!$C$3:$C$501,"=51",'Plan rashoda za unos u SAP'!$M$3:$M$501,"=381")+SUMIFS('ANALITIKA EU PROJEKATA'!$G$3:$G$501,'ANALITIKA EU PROJEKATA'!$A$3:$A$501,"=51",'ANALITIKA EU PROJEKATA'!$P$3:$P$501,"=381")</f>
        <v>0</v>
      </c>
      <c r="K34" s="138">
        <f>SUMIFS('Plan rashoda za unos u SAP'!$I$3:$I$501,'Plan rashoda za unos u SAP'!$C$3:$C$501,"=52",'Plan rashoda za unos u SAP'!$M$3:$M$501,"=381")+SUMIFS('ANALITIKA EU PROJEKATA'!$G$3:$G$501,'ANALITIKA EU PROJEKATA'!$A$3:$A$501,"=52",'ANALITIKA EU PROJEKATA'!$P$3:$P$501,"=381")</f>
        <v>0</v>
      </c>
      <c r="L34" s="138">
        <f>SUMIFS('Plan rashoda za unos u SAP'!$I$3:$I$501,'Plan rashoda za unos u SAP'!$C$3:$C$501,"=552",'Plan rashoda za unos u SAP'!$M$3:$M$501,"=381")+SUMIFS('ANALITIKA EU PROJEKATA'!$G$3:$G$501,'ANALITIKA EU PROJEKATA'!$A$3:$A$501,"=552",'ANALITIKA EU PROJEKATA'!$P$3:$P$501,"=381")</f>
        <v>0</v>
      </c>
      <c r="M34" s="138">
        <f>SUMIFS('Plan rashoda za unos u SAP'!$I$3:$I$501,'Plan rashoda za unos u SAP'!$C$3:$C$501,"=559",'Plan rashoda za unos u SAP'!$M$3:$M$501,"=381")+SUMIFS('ANALITIKA EU PROJEKATA'!$G$3:$G$501,'ANALITIKA EU PROJEKATA'!$A$3:$A$501,"=559",'ANALITIKA EU PROJEKATA'!$P$3:$P$501,"=381")</f>
        <v>0</v>
      </c>
      <c r="N34" s="138">
        <f>SUMIFS('Plan rashoda za unos u SAP'!$I$3:$I$501,'Plan rashoda za unos u SAP'!$C$3:$C$501,"=561",'Plan rashoda za unos u SAP'!$M$3:$M$501,"=381")+SUMIFS('ANALITIKA EU PROJEKATA'!$G$3:$G$501,'ANALITIKA EU PROJEKATA'!$A$3:$A$501,"=561",'ANALITIKA EU PROJEKATA'!$P$3:$P$501,"=381")</f>
        <v>0</v>
      </c>
      <c r="O34" s="138">
        <f>SUMIFS('Plan rashoda za unos u SAP'!$I$3:$I$501,'Plan rashoda za unos u SAP'!$C$3:$C$501,"=563",'Plan rashoda za unos u SAP'!$M$3:$M$501,"=381")+SUMIFS('ANALITIKA EU PROJEKATA'!$G$3:$G$501,'ANALITIKA EU PROJEKATA'!$A$3:$A$501,"=563",'ANALITIKA EU PROJEKATA'!$P$3:$P$501,"=381")</f>
        <v>0</v>
      </c>
      <c r="P34" s="138">
        <f>SUMIFS('Plan rashoda za unos u SAP'!$I$3:$I$501,'Plan rashoda za unos u SAP'!$C$3:$C$501,"=573",'Plan rashoda za unos u SAP'!$M$3:$M$501,"=381")+SUMIFS('ANALITIKA EU PROJEKATA'!$G$3:$G$501,'ANALITIKA EU PROJEKATA'!$A$3:$A$501,"=573",'ANALITIKA EU PROJEKATA'!$P$3:$P$501,"=381")</f>
        <v>0</v>
      </c>
      <c r="Q34" s="138">
        <f>SUMIFS('Plan rashoda za unos u SAP'!$I$3:$I$501,'Plan rashoda za unos u SAP'!$C$3:$C$501,"=575",'Plan rashoda za unos u SAP'!$M$3:$M$501,"=381")+SUMIFS('ANALITIKA EU PROJEKATA'!$G$3:$G$501,'ANALITIKA EU PROJEKATA'!$A$3:$A$501,"=575",'ANALITIKA EU PROJEKATA'!$P$3:$P$501,"=381")</f>
        <v>0</v>
      </c>
      <c r="R34" s="138">
        <f>SUMIFS('Plan rashoda za unos u SAP'!$I$3:$I$501,'Plan rashoda za unos u SAP'!$C$3:$C$501,"=576",'Plan rashoda za unos u SAP'!$M$3:$M$501,"=381")+SUMIFS('ANALITIKA EU PROJEKATA'!$G$3:$G$501,'ANALITIKA EU PROJEKATA'!$A$3:$A$501,"=576",'ANALITIKA EU PROJEKATA'!$P$3:$P$501,"=381")</f>
        <v>0</v>
      </c>
      <c r="S34" s="138">
        <f>SUMIFS('Plan rashoda za unos u SAP'!$I$3:$I$501,'Plan rashoda za unos u SAP'!$C$3:$C$501,"=581",'Plan rashoda za unos u SAP'!$M$3:$M$501,"=381")+SUMIFS('ANALITIKA EU PROJEKATA'!$G$3:$G$501,'ANALITIKA EU PROJEKATA'!$A$3:$A$501,"=581",'ANALITIKA EU PROJEKATA'!$P$3:$P$501,"=381")</f>
        <v>0</v>
      </c>
      <c r="T34" s="138">
        <f>SUMIFS('Plan rashoda za unos u SAP'!$I$3:$I$501,'Plan rashoda za unos u SAP'!$C$3:$C$501,"=61",'Plan rashoda za unos u SAP'!$M$3:$M$501,"=381")+SUMIFS('ANALITIKA EU PROJEKATA'!$G$3:$G$501,'ANALITIKA EU PROJEKATA'!$A$3:$A$501,"=61",'ANALITIKA EU PROJEKATA'!$P$3:$P$501,"=381")</f>
        <v>0</v>
      </c>
      <c r="U34" s="138">
        <f>SUMIFS('Plan rashoda za unos u SAP'!$I$3:$I$501,'Plan rashoda za unos u SAP'!$C$3:$C$501,"=63",'Plan rashoda za unos u SAP'!$M$3:$M$501,"=381")+SUMIFS('ANALITIKA EU PROJEKATA'!$G$3:$G$501,'ANALITIKA EU PROJEKATA'!$A$3:$A$501,"=63",'ANALITIKA EU PROJEKATA'!$P$3:$P$501,"=381")</f>
        <v>0</v>
      </c>
      <c r="V34" s="138">
        <f>SUMIFS('Plan rashoda za unos u SAP'!$I$3:$I$501,'Plan rashoda za unos u SAP'!$C$3:$C$501,"=71",'Plan rashoda za unos u SAP'!$M$3:$M$501,"=381")+SUMIFS('ANALITIKA EU PROJEKATA'!$G$3:$G$501,'ANALITIKA EU PROJEKATA'!$A$3:$A$501,"=71",'ANALITIKA EU PROJEKATA'!$P$3:$P$501,"=381")</f>
        <v>0</v>
      </c>
      <c r="W34" s="138">
        <f>SUMIFS('Plan rashoda za unos u SAP'!$I$3:$I$501,'Plan rashoda za unos u SAP'!$C$3:$C$501,"=81",'Plan rashoda za unos u SAP'!$M$3:$M$501,"=381")+SUMIFS('ANALITIKA EU PROJEKATA'!$G$3:$G$501,'ANALITIKA EU PROJEKATA'!$A$3:$A$501,"=81",'ANALITIKA EU PROJEKATA'!$P$3:$P$501,"=381")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330</v>
      </c>
      <c r="D35" s="14">
        <f t="shared" ref="D35:D66" si="10">SUM(E35:W35)</f>
        <v>0</v>
      </c>
      <c r="E35" s="138">
        <f>SUMIFS('Plan rashoda za unos u SAP'!$I$3:$I$501,'Plan rashoda za unos u SAP'!$C$3:$C$501,"=11",'Plan rashoda za unos u SAP'!$M$3:$M$501,"=382")+SUMIFS('ANALITIKA EU PROJEKATA'!$G$3:$G$501,'ANALITIKA EU PROJEKATA'!$A$3:$A$501,"=11",'ANALITIKA EU PROJEKATA'!$P$3:$P$501,"=382")</f>
        <v>0</v>
      </c>
      <c r="F35" s="138">
        <f>SUMIFS('Plan rashoda za unos u SAP'!$I$3:$I$501,'Plan rashoda za unos u SAP'!$C$3:$C$501,"=12",'Plan rashoda za unos u SAP'!$M$3:$M$501,"=382")+SUMIFS('ANALITIKA EU PROJEKATA'!$G$3:$G$501,'ANALITIKA EU PROJEKATA'!$A$3:$A$501,"=12",'ANALITIKA EU PROJEKATA'!$P$3:$P$501,"=382")</f>
        <v>0</v>
      </c>
      <c r="G35" s="138">
        <f>SUMIFS('Plan rashoda za unos u SAP'!$I$3:$I$501,'Plan rashoda za unos u SAP'!$C$3:$C$501,"=31",'Plan rashoda za unos u SAP'!$M$3:$M$501,"=382")+SUMIFS('ANALITIKA EU PROJEKATA'!$G$3:$G$501,'ANALITIKA EU PROJEKATA'!$A$3:$A$501,"=31",'ANALITIKA EU PROJEKATA'!$P$3:$P$501,"=382")</f>
        <v>0</v>
      </c>
      <c r="H35" s="138">
        <f>SUMIFS('Plan rashoda za unos u SAP'!$I$3:$I$501,'Plan rashoda za unos u SAP'!$C$3:$C$501,"=41",'Plan rashoda za unos u SAP'!$M$3:$M$501,"=382")+SUMIFS('ANALITIKA EU PROJEKATA'!$G$3:$G$501,'ANALITIKA EU PROJEKATA'!$A$3:$A$501,"=41",'ANALITIKA EU PROJEKATA'!$P$3:$P$501,"=382")</f>
        <v>0</v>
      </c>
      <c r="I35" s="138">
        <f>SUMIFS('Plan rashoda za unos u SAP'!$I$3:$I$501,'Plan rashoda za unos u SAP'!$C$3:$C$501,"=43",'Plan rashoda za unos u SAP'!$M$3:$M$501,"=382")+SUMIFS('ANALITIKA EU PROJEKATA'!$G$3:$G$501,'ANALITIKA EU PROJEKATA'!$A$3:$A$501,"=43",'ANALITIKA EU PROJEKATA'!$P$3:$P$501,"=382")</f>
        <v>0</v>
      </c>
      <c r="J35" s="138">
        <f>SUMIFS('Plan rashoda za unos u SAP'!$I$3:$I$501,'Plan rashoda za unos u SAP'!$C$3:$C$501,"=51",'Plan rashoda za unos u SAP'!$M$3:$M$501,"=382")+SUMIFS('ANALITIKA EU PROJEKATA'!$G$3:$G$501,'ANALITIKA EU PROJEKATA'!$A$3:$A$501,"=51",'ANALITIKA EU PROJEKATA'!$P$3:$P$501,"=382")</f>
        <v>0</v>
      </c>
      <c r="K35" s="138">
        <f>SUMIFS('Plan rashoda za unos u SAP'!$I$3:$I$501,'Plan rashoda za unos u SAP'!$C$3:$C$501,"=52",'Plan rashoda za unos u SAP'!$M$3:$M$501,"=382")+SUMIFS('ANALITIKA EU PROJEKATA'!$G$3:$G$501,'ANALITIKA EU PROJEKATA'!$A$3:$A$501,"=52",'ANALITIKA EU PROJEKATA'!$P$3:$P$501,"=382")</f>
        <v>0</v>
      </c>
      <c r="L35" s="138">
        <f>SUMIFS('Plan rashoda za unos u SAP'!$I$3:$I$501,'Plan rashoda za unos u SAP'!$C$3:$C$501,"=552",'Plan rashoda za unos u SAP'!$M$3:$M$501,"=382")+SUMIFS('ANALITIKA EU PROJEKATA'!$G$3:$G$501,'ANALITIKA EU PROJEKATA'!$A$3:$A$501,"=552",'ANALITIKA EU PROJEKATA'!$P$3:$P$501,"=382")</f>
        <v>0</v>
      </c>
      <c r="M35" s="138">
        <f>SUMIFS('Plan rashoda za unos u SAP'!$I$3:$I$501,'Plan rashoda za unos u SAP'!$C$3:$C$501,"=559",'Plan rashoda za unos u SAP'!$M$3:$M$501,"=382")+SUMIFS('ANALITIKA EU PROJEKATA'!$G$3:$G$501,'ANALITIKA EU PROJEKATA'!$A$3:$A$501,"=559",'ANALITIKA EU PROJEKATA'!$P$3:$P$501,"=382")</f>
        <v>0</v>
      </c>
      <c r="N35" s="138">
        <f>SUMIFS('Plan rashoda za unos u SAP'!$I$3:$I$501,'Plan rashoda za unos u SAP'!$C$3:$C$501,"=561",'Plan rashoda za unos u SAP'!$M$3:$M$501,"=382")+SUMIFS('ANALITIKA EU PROJEKATA'!$G$3:$G$501,'ANALITIKA EU PROJEKATA'!$A$3:$A$501,"=561",'ANALITIKA EU PROJEKATA'!$P$3:$P$501,"=382")</f>
        <v>0</v>
      </c>
      <c r="O35" s="138">
        <f>SUMIFS('Plan rashoda za unos u SAP'!$I$3:$I$501,'Plan rashoda za unos u SAP'!$C$3:$C$501,"=563",'Plan rashoda za unos u SAP'!$M$3:$M$501,"=382")+SUMIFS('ANALITIKA EU PROJEKATA'!$G$3:$G$501,'ANALITIKA EU PROJEKATA'!$A$3:$A$501,"=563",'ANALITIKA EU PROJEKATA'!$P$3:$P$501,"=382")</f>
        <v>0</v>
      </c>
      <c r="P35" s="138">
        <f>SUMIFS('Plan rashoda za unos u SAP'!$I$3:$I$501,'Plan rashoda za unos u SAP'!$C$3:$C$501,"=573",'Plan rashoda za unos u SAP'!$M$3:$M$501,"=382")+SUMIFS('ANALITIKA EU PROJEKATA'!$G$3:$G$501,'ANALITIKA EU PROJEKATA'!$A$3:$A$501,"=573",'ANALITIKA EU PROJEKATA'!$P$3:$P$501,"=382")</f>
        <v>0</v>
      </c>
      <c r="Q35" s="138">
        <f>SUMIFS('Plan rashoda za unos u SAP'!$I$3:$I$501,'Plan rashoda za unos u SAP'!$C$3:$C$501,"=575",'Plan rashoda za unos u SAP'!$M$3:$M$501,"=382")+SUMIFS('ANALITIKA EU PROJEKATA'!$G$3:$G$501,'ANALITIKA EU PROJEKATA'!$A$3:$A$501,"=575",'ANALITIKA EU PROJEKATA'!$P$3:$P$501,"=382")</f>
        <v>0</v>
      </c>
      <c r="R35" s="138">
        <f>SUMIFS('Plan rashoda za unos u SAP'!$I$3:$I$501,'Plan rashoda za unos u SAP'!$C$3:$C$501,"=576",'Plan rashoda za unos u SAP'!$M$3:$M$501,"=382")+SUMIFS('ANALITIKA EU PROJEKATA'!$G$3:$G$501,'ANALITIKA EU PROJEKATA'!$A$3:$A$501,"=576",'ANALITIKA EU PROJEKATA'!$P$3:$P$501,"=382")</f>
        <v>0</v>
      </c>
      <c r="S35" s="138">
        <f>SUMIFS('Plan rashoda za unos u SAP'!$I$3:$I$501,'Plan rashoda za unos u SAP'!$C$3:$C$501,"=581",'Plan rashoda za unos u SAP'!$M$3:$M$501,"=382")+SUMIFS('ANALITIKA EU PROJEKATA'!$G$3:$G$501,'ANALITIKA EU PROJEKATA'!$A$3:$A$501,"=581",'ANALITIKA EU PROJEKATA'!$P$3:$P$501,"=382")</f>
        <v>0</v>
      </c>
      <c r="T35" s="138">
        <f>SUMIFS('Plan rashoda za unos u SAP'!$I$3:$I$501,'Plan rashoda za unos u SAP'!$C$3:$C$501,"=61",'Plan rashoda za unos u SAP'!$M$3:$M$501,"=382")+SUMIFS('ANALITIKA EU PROJEKATA'!$G$3:$G$501,'ANALITIKA EU PROJEKATA'!$A$3:$A$501,"=61",'ANALITIKA EU PROJEKATA'!$P$3:$P$501,"=382")</f>
        <v>0</v>
      </c>
      <c r="U35" s="138">
        <f>SUMIFS('Plan rashoda za unos u SAP'!$I$3:$I$501,'Plan rashoda za unos u SAP'!$C$3:$C$501,"=63",'Plan rashoda za unos u SAP'!$M$3:$M$501,"=382")+SUMIFS('ANALITIKA EU PROJEKATA'!$G$3:$G$501,'ANALITIKA EU PROJEKATA'!$A$3:$A$501,"=63",'ANALITIKA EU PROJEKATA'!$P$3:$P$501,"=382")</f>
        <v>0</v>
      </c>
      <c r="V35" s="138">
        <f>SUMIFS('Plan rashoda za unos u SAP'!$I$3:$I$501,'Plan rashoda za unos u SAP'!$C$3:$C$501,"=71",'Plan rashoda za unos u SAP'!$M$3:$M$501,"=382")+SUMIFS('ANALITIKA EU PROJEKATA'!$G$3:$G$501,'ANALITIKA EU PROJEKATA'!$A$3:$A$501,"=71",'ANALITIKA EU PROJEKATA'!$P$3:$P$501,"=382")</f>
        <v>0</v>
      </c>
      <c r="W35" s="138">
        <f>SUMIFS('Plan rashoda za unos u SAP'!$I$3:$I$501,'Plan rashoda za unos u SAP'!$C$3:$C$501,"=81",'Plan rashoda za unos u SAP'!$M$3:$M$501,"=382")+SUMIFS('ANALITIKA EU PROJEKATA'!$G$3:$G$501,'ANALITIKA EU PROJEKATA'!$A$3:$A$501,"=81",'ANALITIKA EU PROJEKATA'!$P$3:$P$501,"=382")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331</v>
      </c>
      <c r="D36" s="14">
        <f t="shared" si="10"/>
        <v>0</v>
      </c>
      <c r="E36" s="138">
        <f>SUMIFS('Plan rashoda za unos u SAP'!$I$3:$I$501,'Plan rashoda za unos u SAP'!$C$3:$C$501,"=11",'Plan rashoda za unos u SAP'!$M$3:$M$501,"=383")+SUMIFS('ANALITIKA EU PROJEKATA'!$G$3:$G$501,'ANALITIKA EU PROJEKATA'!$A$3:$A$501,"=11",'ANALITIKA EU PROJEKATA'!$P$3:$P$501,"=383")</f>
        <v>0</v>
      </c>
      <c r="F36" s="138">
        <f>SUMIFS('Plan rashoda za unos u SAP'!$I$3:$I$501,'Plan rashoda za unos u SAP'!$C$3:$C$501,"=12",'Plan rashoda za unos u SAP'!$M$3:$M$501,"=383")+SUMIFS('ANALITIKA EU PROJEKATA'!$G$3:$G$501,'ANALITIKA EU PROJEKATA'!$A$3:$A$501,"=12",'ANALITIKA EU PROJEKATA'!$P$3:$P$501,"=383")</f>
        <v>0</v>
      </c>
      <c r="G36" s="138">
        <f>SUMIFS('Plan rashoda za unos u SAP'!$I$3:$I$501,'Plan rashoda za unos u SAP'!$C$3:$C$501,"=31",'Plan rashoda za unos u SAP'!$M$3:$M$501,"=383")+SUMIFS('ANALITIKA EU PROJEKATA'!$G$3:$G$501,'ANALITIKA EU PROJEKATA'!$A$3:$A$501,"=31",'ANALITIKA EU PROJEKATA'!$P$3:$P$501,"=383")</f>
        <v>0</v>
      </c>
      <c r="H36" s="138">
        <f>SUMIFS('Plan rashoda za unos u SAP'!$I$3:$I$501,'Plan rashoda za unos u SAP'!$C$3:$C$501,"=41",'Plan rashoda za unos u SAP'!$M$3:$M$501,"=383")+SUMIFS('ANALITIKA EU PROJEKATA'!$G$3:$G$501,'ANALITIKA EU PROJEKATA'!$A$3:$A$501,"=41",'ANALITIKA EU PROJEKATA'!$P$3:$P$501,"=383")</f>
        <v>0</v>
      </c>
      <c r="I36" s="138">
        <f>SUMIFS('Plan rashoda za unos u SAP'!$I$3:$I$501,'Plan rashoda za unos u SAP'!$C$3:$C$501,"=43",'Plan rashoda za unos u SAP'!$M$3:$M$501,"=383")+SUMIFS('ANALITIKA EU PROJEKATA'!$G$3:$G$501,'ANALITIKA EU PROJEKATA'!$A$3:$A$501,"=43",'ANALITIKA EU PROJEKATA'!$P$3:$P$501,"=383")</f>
        <v>0</v>
      </c>
      <c r="J36" s="138">
        <f>SUMIFS('Plan rashoda za unos u SAP'!$I$3:$I$501,'Plan rashoda za unos u SAP'!$C$3:$C$501,"=51",'Plan rashoda za unos u SAP'!$M$3:$M$501,"=383")+SUMIFS('ANALITIKA EU PROJEKATA'!$G$3:$G$501,'ANALITIKA EU PROJEKATA'!$A$3:$A$501,"=51",'ANALITIKA EU PROJEKATA'!$P$3:$P$501,"=383")</f>
        <v>0</v>
      </c>
      <c r="K36" s="138">
        <f>SUMIFS('Plan rashoda za unos u SAP'!$I$3:$I$501,'Plan rashoda za unos u SAP'!$C$3:$C$501,"=52",'Plan rashoda za unos u SAP'!$M$3:$M$501,"=383")+SUMIFS('ANALITIKA EU PROJEKATA'!$G$3:$G$501,'ANALITIKA EU PROJEKATA'!$A$3:$A$501,"=52",'ANALITIKA EU PROJEKATA'!$P$3:$P$501,"=383")</f>
        <v>0</v>
      </c>
      <c r="L36" s="138">
        <f>SUMIFS('Plan rashoda za unos u SAP'!$I$3:$I$501,'Plan rashoda za unos u SAP'!$C$3:$C$501,"=552",'Plan rashoda za unos u SAP'!$M$3:$M$501,"=383")+SUMIFS('ANALITIKA EU PROJEKATA'!$G$3:$G$501,'ANALITIKA EU PROJEKATA'!$A$3:$A$501,"=552",'ANALITIKA EU PROJEKATA'!$P$3:$P$501,"=383")</f>
        <v>0</v>
      </c>
      <c r="M36" s="138">
        <f>SUMIFS('Plan rashoda za unos u SAP'!$I$3:$I$501,'Plan rashoda za unos u SAP'!$C$3:$C$501,"=559",'Plan rashoda za unos u SAP'!$M$3:$M$501,"=383")+SUMIFS('ANALITIKA EU PROJEKATA'!$G$3:$G$501,'ANALITIKA EU PROJEKATA'!$A$3:$A$501,"=559",'ANALITIKA EU PROJEKATA'!$P$3:$P$501,"=383")</f>
        <v>0</v>
      </c>
      <c r="N36" s="138">
        <f>SUMIFS('Plan rashoda za unos u SAP'!$I$3:$I$501,'Plan rashoda za unos u SAP'!$C$3:$C$501,"=561",'Plan rashoda za unos u SAP'!$M$3:$M$501,"=383")+SUMIFS('ANALITIKA EU PROJEKATA'!$G$3:$G$501,'ANALITIKA EU PROJEKATA'!$A$3:$A$501,"=561",'ANALITIKA EU PROJEKATA'!$P$3:$P$501,"=383")</f>
        <v>0</v>
      </c>
      <c r="O36" s="138">
        <f>SUMIFS('Plan rashoda za unos u SAP'!$I$3:$I$501,'Plan rashoda za unos u SAP'!$C$3:$C$501,"=563",'Plan rashoda za unos u SAP'!$M$3:$M$501,"=383")+SUMIFS('ANALITIKA EU PROJEKATA'!$G$3:$G$501,'ANALITIKA EU PROJEKATA'!$A$3:$A$501,"=563",'ANALITIKA EU PROJEKATA'!$P$3:$P$501,"=383")</f>
        <v>0</v>
      </c>
      <c r="P36" s="138">
        <f>SUMIFS('Plan rashoda za unos u SAP'!$I$3:$I$501,'Plan rashoda za unos u SAP'!$C$3:$C$501,"=573",'Plan rashoda za unos u SAP'!$M$3:$M$501,"=383")+SUMIFS('ANALITIKA EU PROJEKATA'!$G$3:$G$501,'ANALITIKA EU PROJEKATA'!$A$3:$A$501,"=573",'ANALITIKA EU PROJEKATA'!$P$3:$P$501,"=383")</f>
        <v>0</v>
      </c>
      <c r="Q36" s="138">
        <f>SUMIFS('Plan rashoda za unos u SAP'!$I$3:$I$501,'Plan rashoda za unos u SAP'!$C$3:$C$501,"=575",'Plan rashoda za unos u SAP'!$M$3:$M$501,"=383")+SUMIFS('ANALITIKA EU PROJEKATA'!$G$3:$G$501,'ANALITIKA EU PROJEKATA'!$A$3:$A$501,"=575",'ANALITIKA EU PROJEKATA'!$P$3:$P$501,"=383")</f>
        <v>0</v>
      </c>
      <c r="R36" s="138">
        <f>SUMIFS('Plan rashoda za unos u SAP'!$I$3:$I$501,'Plan rashoda za unos u SAP'!$C$3:$C$501,"=576",'Plan rashoda za unos u SAP'!$M$3:$M$501,"=383")+SUMIFS('ANALITIKA EU PROJEKATA'!$G$3:$G$501,'ANALITIKA EU PROJEKATA'!$A$3:$A$501,"=576",'ANALITIKA EU PROJEKATA'!$P$3:$P$501,"=383")</f>
        <v>0</v>
      </c>
      <c r="S36" s="138">
        <f>SUMIFS('Plan rashoda za unos u SAP'!$I$3:$I$501,'Plan rashoda za unos u SAP'!$C$3:$C$501,"=581",'Plan rashoda za unos u SAP'!$M$3:$M$501,"=383")+SUMIFS('ANALITIKA EU PROJEKATA'!$G$3:$G$501,'ANALITIKA EU PROJEKATA'!$A$3:$A$501,"=581",'ANALITIKA EU PROJEKATA'!$P$3:$P$501,"=383")</f>
        <v>0</v>
      </c>
      <c r="T36" s="138">
        <f>SUMIFS('Plan rashoda za unos u SAP'!$I$3:$I$501,'Plan rashoda za unos u SAP'!$C$3:$C$501,"=61",'Plan rashoda za unos u SAP'!$M$3:$M$501,"=383")+SUMIFS('ANALITIKA EU PROJEKATA'!$G$3:$G$501,'ANALITIKA EU PROJEKATA'!$A$3:$A$501,"=61",'ANALITIKA EU PROJEKATA'!$P$3:$P$501,"=383")</f>
        <v>0</v>
      </c>
      <c r="U36" s="138">
        <f>SUMIFS('Plan rashoda za unos u SAP'!$I$3:$I$501,'Plan rashoda za unos u SAP'!$C$3:$C$501,"=63",'Plan rashoda za unos u SAP'!$M$3:$M$501,"=383")+SUMIFS('ANALITIKA EU PROJEKATA'!$G$3:$G$501,'ANALITIKA EU PROJEKATA'!$A$3:$A$501,"=63",'ANALITIKA EU PROJEKATA'!$P$3:$P$501,"=383")</f>
        <v>0</v>
      </c>
      <c r="V36" s="138">
        <f>SUMIFS('Plan rashoda za unos u SAP'!$I$3:$I$501,'Plan rashoda za unos u SAP'!$C$3:$C$501,"=71",'Plan rashoda za unos u SAP'!$M$3:$M$501,"=383")+SUMIFS('ANALITIKA EU PROJEKATA'!$G$3:$G$501,'ANALITIKA EU PROJEKATA'!$A$3:$A$501,"=71",'ANALITIKA EU PROJEKATA'!$P$3:$P$501,"=383")</f>
        <v>0</v>
      </c>
      <c r="W36" s="138">
        <f>SUMIFS('Plan rashoda za unos u SAP'!$I$3:$I$501,'Plan rashoda za unos u SAP'!$C$3:$C$501,"=81",'Plan rashoda za unos u SAP'!$M$3:$M$501,"=383")+SUMIFS('ANALITIKA EU PROJEKATA'!$G$3:$G$501,'ANALITIKA EU PROJEKATA'!$A$3:$A$501,"=81",'ANALITIKA EU PROJEKATA'!$P$3:$P$501,"=383")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332</v>
      </c>
      <c r="D37" s="14">
        <f t="shared" si="10"/>
        <v>0</v>
      </c>
      <c r="E37" s="138">
        <f>SUMIFS('Plan rashoda za unos u SAP'!$I$3:$I$501,'Plan rashoda za unos u SAP'!$C$3:$C$501,"=11",'Plan rashoda za unos u SAP'!$M$3:$M$501,"=386")+SUMIFS('ANALITIKA EU PROJEKATA'!$G$3:$G$501,'ANALITIKA EU PROJEKATA'!$A$3:$A$501,"=11",'ANALITIKA EU PROJEKATA'!$P$3:$P$501,"=386")</f>
        <v>0</v>
      </c>
      <c r="F37" s="138">
        <f>SUMIFS('Plan rashoda za unos u SAP'!$I$3:$I$501,'Plan rashoda za unos u SAP'!$C$3:$C$501,"=12",'Plan rashoda za unos u SAP'!$M$3:$M$501,"=386")+SUMIFS('ANALITIKA EU PROJEKATA'!$G$3:$G$501,'ANALITIKA EU PROJEKATA'!$A$3:$A$501,"=12",'ANALITIKA EU PROJEKATA'!$P$3:$P$501,"=386")</f>
        <v>0</v>
      </c>
      <c r="G37" s="138">
        <f>SUMIFS('Plan rashoda za unos u SAP'!$I$3:$I$501,'Plan rashoda za unos u SAP'!$C$3:$C$501,"=31",'Plan rashoda za unos u SAP'!$M$3:$M$501,"=386")+SUMIFS('ANALITIKA EU PROJEKATA'!$G$3:$G$501,'ANALITIKA EU PROJEKATA'!$A$3:$A$501,"=31",'ANALITIKA EU PROJEKATA'!$P$3:$P$501,"=386")</f>
        <v>0</v>
      </c>
      <c r="H37" s="138">
        <f>SUMIFS('Plan rashoda za unos u SAP'!$I$3:$I$501,'Plan rashoda za unos u SAP'!$C$3:$C$501,"=41",'Plan rashoda za unos u SAP'!$M$3:$M$501,"=386")+SUMIFS('ANALITIKA EU PROJEKATA'!$G$3:$G$501,'ANALITIKA EU PROJEKATA'!$A$3:$A$501,"=41",'ANALITIKA EU PROJEKATA'!$P$3:$P$501,"=386")</f>
        <v>0</v>
      </c>
      <c r="I37" s="138">
        <f>SUMIFS('Plan rashoda za unos u SAP'!$I$3:$I$501,'Plan rashoda za unos u SAP'!$C$3:$C$501,"=43",'Plan rashoda za unos u SAP'!$M$3:$M$501,"=386")+SUMIFS('ANALITIKA EU PROJEKATA'!$G$3:$G$501,'ANALITIKA EU PROJEKATA'!$A$3:$A$501,"=43",'ANALITIKA EU PROJEKATA'!$P$3:$P$501,"=386")</f>
        <v>0</v>
      </c>
      <c r="J37" s="138">
        <f>SUMIFS('Plan rashoda za unos u SAP'!$I$3:$I$501,'Plan rashoda za unos u SAP'!$C$3:$C$501,"=51",'Plan rashoda za unos u SAP'!$M$3:$M$501,"=386")+SUMIFS('ANALITIKA EU PROJEKATA'!$G$3:$G$501,'ANALITIKA EU PROJEKATA'!$A$3:$A$501,"=51",'ANALITIKA EU PROJEKATA'!$P$3:$P$501,"=386")</f>
        <v>0</v>
      </c>
      <c r="K37" s="138">
        <f>SUMIFS('Plan rashoda za unos u SAP'!$I$3:$I$501,'Plan rashoda za unos u SAP'!$C$3:$C$501,"=52",'Plan rashoda za unos u SAP'!$M$3:$M$501,"=386")+SUMIFS('ANALITIKA EU PROJEKATA'!$G$3:$G$501,'ANALITIKA EU PROJEKATA'!$A$3:$A$501,"=52",'ANALITIKA EU PROJEKATA'!$P$3:$P$501,"=386")</f>
        <v>0</v>
      </c>
      <c r="L37" s="138">
        <f>SUMIFS('Plan rashoda za unos u SAP'!$I$3:$I$501,'Plan rashoda za unos u SAP'!$C$3:$C$501,"=552",'Plan rashoda za unos u SAP'!$M$3:$M$501,"=386")+SUMIFS('ANALITIKA EU PROJEKATA'!$G$3:$G$501,'ANALITIKA EU PROJEKATA'!$A$3:$A$501,"=552",'ANALITIKA EU PROJEKATA'!$P$3:$P$501,"=386")</f>
        <v>0</v>
      </c>
      <c r="M37" s="138">
        <f>SUMIFS('Plan rashoda za unos u SAP'!$I$3:$I$501,'Plan rashoda za unos u SAP'!$C$3:$C$501,"=559",'Plan rashoda za unos u SAP'!$M$3:$M$501,"=386")+SUMIFS('ANALITIKA EU PROJEKATA'!$G$3:$G$501,'ANALITIKA EU PROJEKATA'!$A$3:$A$501,"=559",'ANALITIKA EU PROJEKATA'!$P$3:$P$501,"=386")</f>
        <v>0</v>
      </c>
      <c r="N37" s="138">
        <f>SUMIFS('Plan rashoda za unos u SAP'!$I$3:$I$501,'Plan rashoda za unos u SAP'!$C$3:$C$501,"=561",'Plan rashoda za unos u SAP'!$M$3:$M$501,"=386")+SUMIFS('ANALITIKA EU PROJEKATA'!$G$3:$G$501,'ANALITIKA EU PROJEKATA'!$A$3:$A$501,"=561",'ANALITIKA EU PROJEKATA'!$P$3:$P$501,"=386")</f>
        <v>0</v>
      </c>
      <c r="O37" s="138">
        <f>SUMIFS('Plan rashoda za unos u SAP'!$I$3:$I$501,'Plan rashoda za unos u SAP'!$C$3:$C$501,"=563",'Plan rashoda za unos u SAP'!$M$3:$M$501,"=386")+SUMIFS('ANALITIKA EU PROJEKATA'!$G$3:$G$501,'ANALITIKA EU PROJEKATA'!$A$3:$A$501,"=563",'ANALITIKA EU PROJEKATA'!$P$3:$P$501,"=386")</f>
        <v>0</v>
      </c>
      <c r="P37" s="138">
        <f>SUMIFS('Plan rashoda za unos u SAP'!$I$3:$I$501,'Plan rashoda za unos u SAP'!$C$3:$C$501,"=573",'Plan rashoda za unos u SAP'!$M$3:$M$501,"=386")+SUMIFS('ANALITIKA EU PROJEKATA'!$G$3:$G$501,'ANALITIKA EU PROJEKATA'!$A$3:$A$501,"=573",'ANALITIKA EU PROJEKATA'!$P$3:$P$501,"=386")</f>
        <v>0</v>
      </c>
      <c r="Q37" s="138">
        <f>SUMIFS('Plan rashoda za unos u SAP'!$I$3:$I$501,'Plan rashoda za unos u SAP'!$C$3:$C$501,"=575",'Plan rashoda za unos u SAP'!$M$3:$M$501,"=386")+SUMIFS('ANALITIKA EU PROJEKATA'!$G$3:$G$501,'ANALITIKA EU PROJEKATA'!$A$3:$A$501,"=575",'ANALITIKA EU PROJEKATA'!$P$3:$P$501,"=386")</f>
        <v>0</v>
      </c>
      <c r="R37" s="138">
        <f>SUMIFS('Plan rashoda za unos u SAP'!$I$3:$I$501,'Plan rashoda za unos u SAP'!$C$3:$C$501,"=576",'Plan rashoda za unos u SAP'!$M$3:$M$501,"=386")+SUMIFS('ANALITIKA EU PROJEKATA'!$G$3:$G$501,'ANALITIKA EU PROJEKATA'!$A$3:$A$501,"=576",'ANALITIKA EU PROJEKATA'!$P$3:$P$501,"=386")</f>
        <v>0</v>
      </c>
      <c r="S37" s="138">
        <f>SUMIFS('Plan rashoda za unos u SAP'!$I$3:$I$501,'Plan rashoda za unos u SAP'!$C$3:$C$501,"=581",'Plan rashoda za unos u SAP'!$M$3:$M$501,"=386")+SUMIFS('ANALITIKA EU PROJEKATA'!$G$3:$G$501,'ANALITIKA EU PROJEKATA'!$A$3:$A$501,"=581",'ANALITIKA EU PROJEKATA'!$P$3:$P$501,"=386")</f>
        <v>0</v>
      </c>
      <c r="T37" s="138">
        <f>SUMIFS('Plan rashoda za unos u SAP'!$I$3:$I$501,'Plan rashoda za unos u SAP'!$C$3:$C$501,"=61",'Plan rashoda za unos u SAP'!$M$3:$M$501,"=386")+SUMIFS('ANALITIKA EU PROJEKATA'!$G$3:$G$501,'ANALITIKA EU PROJEKATA'!$A$3:$A$501,"=61",'ANALITIKA EU PROJEKATA'!$P$3:$P$501,"=386")</f>
        <v>0</v>
      </c>
      <c r="U37" s="138">
        <f>SUMIFS('Plan rashoda za unos u SAP'!$I$3:$I$501,'Plan rashoda za unos u SAP'!$C$3:$C$501,"=63",'Plan rashoda za unos u SAP'!$M$3:$M$501,"=386")+SUMIFS('ANALITIKA EU PROJEKATA'!$G$3:$G$501,'ANALITIKA EU PROJEKATA'!$A$3:$A$501,"=63",'ANALITIKA EU PROJEKATA'!$P$3:$P$501,"=386")</f>
        <v>0</v>
      </c>
      <c r="V37" s="138">
        <f>SUMIFS('Plan rashoda za unos u SAP'!$I$3:$I$501,'Plan rashoda za unos u SAP'!$C$3:$C$501,"=71",'Plan rashoda za unos u SAP'!$M$3:$M$501,"=386")+SUMIFS('ANALITIKA EU PROJEKATA'!$G$3:$G$501,'ANALITIKA EU PROJEKATA'!$A$3:$A$501,"=71",'ANALITIKA EU PROJEKATA'!$P$3:$P$501,"=386")</f>
        <v>0</v>
      </c>
      <c r="W37" s="138">
        <f>SUMIFS('Plan rashoda za unos u SAP'!$I$3:$I$501,'Plan rashoda za unos u SAP'!$C$3:$C$501,"=81",'Plan rashoda za unos u SAP'!$M$3:$M$501,"=386")+SUMIFS('ANALITIKA EU PROJEKATA'!$G$3:$G$501,'ANALITIKA EU PROJEKATA'!$A$3:$A$501,"=81",'ANALITIKA EU PROJEKATA'!$P$3:$P$501,"=386")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213</v>
      </c>
      <c r="D38" s="126">
        <f t="shared" si="10"/>
        <v>1398500</v>
      </c>
      <c r="E38" s="126">
        <f>E42+E49+E51+E53+E39</f>
        <v>168000</v>
      </c>
      <c r="F38" s="126">
        <f t="shared" ref="F38:W38" si="11">F42+F49+F51+F53+F39</f>
        <v>0</v>
      </c>
      <c r="G38" s="126">
        <f t="shared" si="11"/>
        <v>79000</v>
      </c>
      <c r="H38" s="126">
        <f>H42+H49+H51+H53+H39</f>
        <v>0</v>
      </c>
      <c r="I38" s="126">
        <f t="shared" si="11"/>
        <v>1080911</v>
      </c>
      <c r="J38" s="126">
        <f t="shared" si="11"/>
        <v>0</v>
      </c>
      <c r="K38" s="126">
        <f t="shared" si="11"/>
        <v>70589</v>
      </c>
      <c r="L38" s="126">
        <f>L42+L49+L51+L53+L39</f>
        <v>0</v>
      </c>
      <c r="M38" s="126">
        <f t="shared" si="11"/>
        <v>0</v>
      </c>
      <c r="N38" s="126">
        <f t="shared" si="11"/>
        <v>0</v>
      </c>
      <c r="O38" s="126">
        <f t="shared" si="11"/>
        <v>0</v>
      </c>
      <c r="P38" s="126">
        <f>P42+P49+P51+P53+P39</f>
        <v>0</v>
      </c>
      <c r="Q38" s="126">
        <f>Q42+Q49+Q51+Q53+Q39</f>
        <v>0</v>
      </c>
      <c r="R38" s="126">
        <f>R42+R49+R51+R53+R39</f>
        <v>0</v>
      </c>
      <c r="S38" s="126">
        <f>S42+S49+S51+S53+S39</f>
        <v>0</v>
      </c>
      <c r="T38" s="126">
        <f t="shared" si="11"/>
        <v>0</v>
      </c>
      <c r="U38" s="126">
        <f t="shared" si="11"/>
        <v>0</v>
      </c>
      <c r="V38" s="126">
        <f t="shared" si="11"/>
        <v>0</v>
      </c>
      <c r="W38" s="126">
        <f t="shared" si="11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333</v>
      </c>
      <c r="D39" s="4">
        <f t="shared" si="10"/>
        <v>240000</v>
      </c>
      <c r="E39" s="12">
        <f t="shared" ref="E39:W39" si="12">SUM(E40:E41)</f>
        <v>0</v>
      </c>
      <c r="F39" s="12">
        <f t="shared" si="12"/>
        <v>0</v>
      </c>
      <c r="G39" s="12">
        <f t="shared" si="12"/>
        <v>0</v>
      </c>
      <c r="H39" s="12">
        <f>SUM(H40:H41)</f>
        <v>0</v>
      </c>
      <c r="I39" s="12">
        <f t="shared" si="12"/>
        <v>240000</v>
      </c>
      <c r="J39" s="12">
        <f t="shared" si="12"/>
        <v>0</v>
      </c>
      <c r="K39" s="12">
        <f t="shared" si="12"/>
        <v>0</v>
      </c>
      <c r="L39" s="12">
        <f>SUM(L40:L41)</f>
        <v>0</v>
      </c>
      <c r="M39" s="12">
        <f t="shared" si="12"/>
        <v>0</v>
      </c>
      <c r="N39" s="12">
        <f t="shared" si="12"/>
        <v>0</v>
      </c>
      <c r="O39" s="12">
        <f t="shared" si="12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>SUM(S40:S41)</f>
        <v>0</v>
      </c>
      <c r="T39" s="12">
        <f t="shared" si="12"/>
        <v>0</v>
      </c>
      <c r="U39" s="12">
        <f t="shared" si="12"/>
        <v>0</v>
      </c>
      <c r="V39" s="12">
        <f t="shared" si="12"/>
        <v>0</v>
      </c>
      <c r="W39" s="12">
        <f t="shared" si="12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334</v>
      </c>
      <c r="D40" s="14">
        <f t="shared" si="10"/>
        <v>0</v>
      </c>
      <c r="E40" s="138">
        <f>SUMIFS('Plan rashoda za unos u SAP'!$I$3:$I$501,'Plan rashoda za unos u SAP'!$C$3:$C$501,"=11",'Plan rashoda za unos u SAP'!$M$3:$M$501,"=411")+SUMIFS('ANALITIKA EU PROJEKATA'!$G$3:$G$501,'ANALITIKA EU PROJEKATA'!$A$3:$A$501,"=11",'ANALITIKA EU PROJEKATA'!$P$3:$P$501,"=411")</f>
        <v>0</v>
      </c>
      <c r="F40" s="138">
        <f>SUMIFS('Plan rashoda za unos u SAP'!$I$3:$I$501,'Plan rashoda za unos u SAP'!$C$3:$C$501,"=12",'Plan rashoda za unos u SAP'!$M$3:$M$501,"=411")+SUMIFS('ANALITIKA EU PROJEKATA'!$G$3:$G$501,'ANALITIKA EU PROJEKATA'!$A$3:$A$501,"=12",'ANALITIKA EU PROJEKATA'!$P$3:$P$501,"=411")</f>
        <v>0</v>
      </c>
      <c r="G40" s="138">
        <f>SUMIFS('Plan rashoda za unos u SAP'!$I$3:$I$501,'Plan rashoda za unos u SAP'!$C$3:$C$501,"=31",'Plan rashoda za unos u SAP'!$M$3:$M$501,"=411")+SUMIFS('ANALITIKA EU PROJEKATA'!$G$3:$G$501,'ANALITIKA EU PROJEKATA'!$A$3:$A$501,"=31",'ANALITIKA EU PROJEKATA'!$P$3:$P$501,"=411")</f>
        <v>0</v>
      </c>
      <c r="H40" s="138">
        <f>SUMIFS('Plan rashoda za unos u SAP'!$I$3:$I$501,'Plan rashoda za unos u SAP'!$C$3:$C$501,"=41",'Plan rashoda za unos u SAP'!$M$3:$M$501,"=411")+SUMIFS('ANALITIKA EU PROJEKATA'!$G$3:$G$501,'ANALITIKA EU PROJEKATA'!$A$3:$A$501,"=41",'ANALITIKA EU PROJEKATA'!$P$3:$P$501,"=411")</f>
        <v>0</v>
      </c>
      <c r="I40" s="138">
        <f>SUMIFS('Plan rashoda za unos u SAP'!$I$3:$I$501,'Plan rashoda za unos u SAP'!$C$3:$C$501,"=43",'Plan rashoda za unos u SAP'!$M$3:$M$501,"=411")+SUMIFS('ANALITIKA EU PROJEKATA'!$G$3:$G$501,'ANALITIKA EU PROJEKATA'!$A$3:$A$501,"=43",'ANALITIKA EU PROJEKATA'!$P$3:$P$501,"=411")</f>
        <v>0</v>
      </c>
      <c r="J40" s="138">
        <f>SUMIFS('Plan rashoda za unos u SAP'!$I$3:$I$501,'Plan rashoda za unos u SAP'!$C$3:$C$501,"=51",'Plan rashoda za unos u SAP'!$M$3:$M$501,"=411")+SUMIFS('ANALITIKA EU PROJEKATA'!$G$3:$G$501,'ANALITIKA EU PROJEKATA'!$A$3:$A$501,"=51",'ANALITIKA EU PROJEKATA'!$P$3:$P$501,"=411")</f>
        <v>0</v>
      </c>
      <c r="K40" s="138">
        <f>SUMIFS('Plan rashoda za unos u SAP'!$I$3:$I$501,'Plan rashoda za unos u SAP'!$C$3:$C$501,"=52",'Plan rashoda za unos u SAP'!$M$3:$M$501,"=411")+SUMIFS('ANALITIKA EU PROJEKATA'!$G$3:$G$501,'ANALITIKA EU PROJEKATA'!$A$3:$A$501,"=52",'ANALITIKA EU PROJEKATA'!$P$3:$P$501,"=411")</f>
        <v>0</v>
      </c>
      <c r="L40" s="138">
        <f>SUMIFS('Plan rashoda za unos u SAP'!$I$3:$I$501,'Plan rashoda za unos u SAP'!$C$3:$C$501,"=552",'Plan rashoda za unos u SAP'!$M$3:$M$501,"=411")+SUMIFS('ANALITIKA EU PROJEKATA'!$G$3:$G$501,'ANALITIKA EU PROJEKATA'!$A$3:$A$501,"=552",'ANALITIKA EU PROJEKATA'!$P$3:$P$501,"=411")</f>
        <v>0</v>
      </c>
      <c r="M40" s="138">
        <f>SUMIFS('Plan rashoda za unos u SAP'!$I$3:$I$501,'Plan rashoda za unos u SAP'!$C$3:$C$501,"=559",'Plan rashoda za unos u SAP'!$M$3:$M$501,"=411")+SUMIFS('ANALITIKA EU PROJEKATA'!$G$3:$G$501,'ANALITIKA EU PROJEKATA'!$A$3:$A$501,"=559",'ANALITIKA EU PROJEKATA'!$P$3:$P$501,"=411")</f>
        <v>0</v>
      </c>
      <c r="N40" s="138">
        <f>SUMIFS('Plan rashoda za unos u SAP'!$I$3:$I$501,'Plan rashoda za unos u SAP'!$C$3:$C$501,"=561",'Plan rashoda za unos u SAP'!$M$3:$M$501,"=411")+SUMIFS('ANALITIKA EU PROJEKATA'!$G$3:$G$501,'ANALITIKA EU PROJEKATA'!$A$3:$A$501,"=561",'ANALITIKA EU PROJEKATA'!$P$3:$P$501,"=411")</f>
        <v>0</v>
      </c>
      <c r="O40" s="138">
        <f>SUMIFS('Plan rashoda za unos u SAP'!$I$3:$I$501,'Plan rashoda za unos u SAP'!$C$3:$C$501,"=563",'Plan rashoda za unos u SAP'!$M$3:$M$501,"=411")+SUMIFS('ANALITIKA EU PROJEKATA'!$G$3:$G$501,'ANALITIKA EU PROJEKATA'!$A$3:$A$501,"=563",'ANALITIKA EU PROJEKATA'!$P$3:$P$501,"=411")</f>
        <v>0</v>
      </c>
      <c r="P40" s="138">
        <f>SUMIFS('Plan rashoda za unos u SAP'!$I$3:$I$501,'Plan rashoda za unos u SAP'!$C$3:$C$501,"=573",'Plan rashoda za unos u SAP'!$M$3:$M$501,"=411")+SUMIFS('ANALITIKA EU PROJEKATA'!$G$3:$G$501,'ANALITIKA EU PROJEKATA'!$A$3:$A$501,"=573",'ANALITIKA EU PROJEKATA'!$P$3:$P$501,"=411")</f>
        <v>0</v>
      </c>
      <c r="Q40" s="138">
        <f>SUMIFS('Plan rashoda za unos u SAP'!$I$3:$I$501,'Plan rashoda za unos u SAP'!$C$3:$C$501,"=575",'Plan rashoda za unos u SAP'!$M$3:$M$501,"=411")+SUMIFS('ANALITIKA EU PROJEKATA'!$G$3:$G$501,'ANALITIKA EU PROJEKATA'!$A$3:$A$501,"=575",'ANALITIKA EU PROJEKATA'!$P$3:$P$501,"=411")</f>
        <v>0</v>
      </c>
      <c r="R40" s="138">
        <f>SUMIFS('Plan rashoda za unos u SAP'!$I$3:$I$501,'Plan rashoda za unos u SAP'!$C$3:$C$501,"=576",'Plan rashoda za unos u SAP'!$M$3:$M$501,"=411")+SUMIFS('ANALITIKA EU PROJEKATA'!$G$3:$G$501,'ANALITIKA EU PROJEKATA'!$A$3:$A$501,"=576",'ANALITIKA EU PROJEKATA'!$P$3:$P$501,"=411")</f>
        <v>0</v>
      </c>
      <c r="S40" s="138">
        <f>SUMIFS('Plan rashoda za unos u SAP'!$I$3:$I$501,'Plan rashoda za unos u SAP'!$C$3:$C$501,"=581",'Plan rashoda za unos u SAP'!$M$3:$M$501,"=411")+SUMIFS('ANALITIKA EU PROJEKATA'!$G$3:$G$501,'ANALITIKA EU PROJEKATA'!$A$3:$A$501,"=581",'ANALITIKA EU PROJEKATA'!$P$3:$P$501,"=411")</f>
        <v>0</v>
      </c>
      <c r="T40" s="138">
        <f>SUMIFS('Plan rashoda za unos u SAP'!$I$3:$I$501,'Plan rashoda za unos u SAP'!$C$3:$C$501,"=61",'Plan rashoda za unos u SAP'!$M$3:$M$501,"=411")+SUMIFS('ANALITIKA EU PROJEKATA'!$G$3:$G$501,'ANALITIKA EU PROJEKATA'!$A$3:$A$501,"=61",'ANALITIKA EU PROJEKATA'!$P$3:$P$501,"=411")</f>
        <v>0</v>
      </c>
      <c r="U40" s="138">
        <f>SUMIFS('Plan rashoda za unos u SAP'!$I$3:$I$501,'Plan rashoda za unos u SAP'!$C$3:$C$501,"=63",'Plan rashoda za unos u SAP'!$M$3:$M$501,"=411")+SUMIFS('ANALITIKA EU PROJEKATA'!$G$3:$G$501,'ANALITIKA EU PROJEKATA'!$A$3:$A$501,"=63",'ANALITIKA EU PROJEKATA'!$P$3:$P$501,"=411")</f>
        <v>0</v>
      </c>
      <c r="V40" s="138">
        <f>SUMIFS('Plan rashoda za unos u SAP'!$I$3:$I$501,'Plan rashoda za unos u SAP'!$C$3:$C$501,"=71",'Plan rashoda za unos u SAP'!$M$3:$M$501,"=411")+SUMIFS('ANALITIKA EU PROJEKATA'!$G$3:$G$501,'ANALITIKA EU PROJEKATA'!$A$3:$A$501,"=71",'ANALITIKA EU PROJEKATA'!$P$3:$P$501,"=411")</f>
        <v>0</v>
      </c>
      <c r="W40" s="138">
        <f>SUMIFS('Plan rashoda za unos u SAP'!$I$3:$I$501,'Plan rashoda za unos u SAP'!$C$3:$C$501,"=81",'Plan rashoda za unos u SAP'!$M$3:$M$501,"=411")+SUMIFS('ANALITIKA EU PROJEKATA'!$G$3:$G$501,'ANALITIKA EU PROJEKATA'!$A$3:$A$501,"=81",'ANALITIKA EU PROJEKATA'!$P$3:$P$501,"=411")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335</v>
      </c>
      <c r="D41" s="14">
        <f t="shared" si="10"/>
        <v>240000</v>
      </c>
      <c r="E41" s="138">
        <f>SUMIFS('Plan rashoda za unos u SAP'!$I$3:$I$501,'Plan rashoda za unos u SAP'!$C$3:$C$501,"=11",'Plan rashoda za unos u SAP'!$M$3:$M$501,"=412")+SUMIFS('ANALITIKA EU PROJEKATA'!$G$3:$G$501,'ANALITIKA EU PROJEKATA'!$A$3:$A$501,"=11",'ANALITIKA EU PROJEKATA'!$P$3:$P$501,"=412")</f>
        <v>0</v>
      </c>
      <c r="F41" s="138">
        <f>SUMIFS('Plan rashoda za unos u SAP'!$I$3:$I$501,'Plan rashoda za unos u SAP'!$C$3:$C$501,"=12",'Plan rashoda za unos u SAP'!$M$3:$M$501,"=412")+SUMIFS('ANALITIKA EU PROJEKATA'!$G$3:$G$501,'ANALITIKA EU PROJEKATA'!$A$3:$A$501,"=12",'ANALITIKA EU PROJEKATA'!$P$3:$P$501,"=412")</f>
        <v>0</v>
      </c>
      <c r="G41" s="138">
        <f>SUMIFS('Plan rashoda za unos u SAP'!$I$3:$I$501,'Plan rashoda za unos u SAP'!$C$3:$C$501,"=31",'Plan rashoda za unos u SAP'!$M$3:$M$501,"=412")+SUMIFS('ANALITIKA EU PROJEKATA'!$G$3:$G$501,'ANALITIKA EU PROJEKATA'!$A$3:$A$501,"=31",'ANALITIKA EU PROJEKATA'!$P$3:$P$501,"=412")</f>
        <v>0</v>
      </c>
      <c r="H41" s="138">
        <f>SUMIFS('Plan rashoda za unos u SAP'!$I$3:$I$501,'Plan rashoda za unos u SAP'!$C$3:$C$501,"=41",'Plan rashoda za unos u SAP'!$M$3:$M$501,"=412")+SUMIFS('ANALITIKA EU PROJEKATA'!$G$3:$G$501,'ANALITIKA EU PROJEKATA'!$A$3:$A$501,"=41",'ANALITIKA EU PROJEKATA'!$P$3:$P$501,"=412")</f>
        <v>0</v>
      </c>
      <c r="I41" s="138">
        <f>SUMIFS('Plan rashoda za unos u SAP'!$I$3:$I$501,'Plan rashoda za unos u SAP'!$C$3:$C$501,"=43",'Plan rashoda za unos u SAP'!$M$3:$M$501,"=412")+SUMIFS('ANALITIKA EU PROJEKATA'!$G$3:$G$501,'ANALITIKA EU PROJEKATA'!$A$3:$A$501,"=43",'ANALITIKA EU PROJEKATA'!$P$3:$P$501,"=412")</f>
        <v>240000</v>
      </c>
      <c r="J41" s="138">
        <f>SUMIFS('Plan rashoda za unos u SAP'!$I$3:$I$501,'Plan rashoda za unos u SAP'!$C$3:$C$501,"=51",'Plan rashoda za unos u SAP'!$M$3:$M$501,"=412")+SUMIFS('ANALITIKA EU PROJEKATA'!$G$3:$G$501,'ANALITIKA EU PROJEKATA'!$A$3:$A$501,"=51",'ANALITIKA EU PROJEKATA'!$P$3:$P$501,"=412")</f>
        <v>0</v>
      </c>
      <c r="K41" s="138">
        <f>SUMIFS('Plan rashoda za unos u SAP'!$I$3:$I$501,'Plan rashoda za unos u SAP'!$C$3:$C$501,"=52",'Plan rashoda za unos u SAP'!$M$3:$M$501,"=412")+SUMIFS('ANALITIKA EU PROJEKATA'!$G$3:$G$501,'ANALITIKA EU PROJEKATA'!$A$3:$A$501,"=52",'ANALITIKA EU PROJEKATA'!$P$3:$P$501,"=412")</f>
        <v>0</v>
      </c>
      <c r="L41" s="138">
        <f>SUMIFS('Plan rashoda za unos u SAP'!$I$3:$I$501,'Plan rashoda za unos u SAP'!$C$3:$C$501,"=552",'Plan rashoda za unos u SAP'!$M$3:$M$501,"=412")+SUMIFS('ANALITIKA EU PROJEKATA'!$G$3:$G$501,'ANALITIKA EU PROJEKATA'!$A$3:$A$501,"=552",'ANALITIKA EU PROJEKATA'!$P$3:$P$501,"=412")</f>
        <v>0</v>
      </c>
      <c r="M41" s="138">
        <f>SUMIFS('Plan rashoda za unos u SAP'!$I$3:$I$501,'Plan rashoda za unos u SAP'!$C$3:$C$501,"=559",'Plan rashoda za unos u SAP'!$M$3:$M$501,"=412")+SUMIFS('ANALITIKA EU PROJEKATA'!$G$3:$G$501,'ANALITIKA EU PROJEKATA'!$A$3:$A$501,"=559",'ANALITIKA EU PROJEKATA'!$P$3:$P$501,"=412")</f>
        <v>0</v>
      </c>
      <c r="N41" s="138">
        <f>SUMIFS('Plan rashoda za unos u SAP'!$I$3:$I$501,'Plan rashoda za unos u SAP'!$C$3:$C$501,"=561",'Plan rashoda za unos u SAP'!$M$3:$M$501,"=412")+SUMIFS('ANALITIKA EU PROJEKATA'!$G$3:$G$501,'ANALITIKA EU PROJEKATA'!$A$3:$A$501,"=561",'ANALITIKA EU PROJEKATA'!$P$3:$P$501,"=412")</f>
        <v>0</v>
      </c>
      <c r="O41" s="138">
        <f>SUMIFS('Plan rashoda za unos u SAP'!$I$3:$I$501,'Plan rashoda za unos u SAP'!$C$3:$C$501,"=563",'Plan rashoda za unos u SAP'!$M$3:$M$501,"=412")+SUMIFS('ANALITIKA EU PROJEKATA'!$G$3:$G$501,'ANALITIKA EU PROJEKATA'!$A$3:$A$501,"=563",'ANALITIKA EU PROJEKATA'!$P$3:$P$501,"=412")</f>
        <v>0</v>
      </c>
      <c r="P41" s="138">
        <f>SUMIFS('Plan rashoda za unos u SAP'!$I$3:$I$501,'Plan rashoda za unos u SAP'!$C$3:$C$501,"=573",'Plan rashoda za unos u SAP'!$M$3:$M$501,"=412")+SUMIFS('ANALITIKA EU PROJEKATA'!$G$3:$G$501,'ANALITIKA EU PROJEKATA'!$A$3:$A$501,"=573",'ANALITIKA EU PROJEKATA'!$P$3:$P$501,"=412")</f>
        <v>0</v>
      </c>
      <c r="Q41" s="138">
        <f>SUMIFS('Plan rashoda za unos u SAP'!$I$3:$I$501,'Plan rashoda za unos u SAP'!$C$3:$C$501,"=575",'Plan rashoda za unos u SAP'!$M$3:$M$501,"=412")+SUMIFS('ANALITIKA EU PROJEKATA'!$G$3:$G$501,'ANALITIKA EU PROJEKATA'!$A$3:$A$501,"=575",'ANALITIKA EU PROJEKATA'!$P$3:$P$501,"=412")</f>
        <v>0</v>
      </c>
      <c r="R41" s="138">
        <f>SUMIFS('Plan rashoda za unos u SAP'!$I$3:$I$501,'Plan rashoda za unos u SAP'!$C$3:$C$501,"=576",'Plan rashoda za unos u SAP'!$M$3:$M$501,"=412")+SUMIFS('ANALITIKA EU PROJEKATA'!$G$3:$G$501,'ANALITIKA EU PROJEKATA'!$A$3:$A$501,"=576",'ANALITIKA EU PROJEKATA'!$P$3:$P$501,"=412")</f>
        <v>0</v>
      </c>
      <c r="S41" s="138">
        <f>SUMIFS('Plan rashoda za unos u SAP'!$I$3:$I$501,'Plan rashoda za unos u SAP'!$C$3:$C$501,"=581",'Plan rashoda za unos u SAP'!$M$3:$M$501,"=412")+SUMIFS('ANALITIKA EU PROJEKATA'!$G$3:$G$501,'ANALITIKA EU PROJEKATA'!$A$3:$A$501,"=581",'ANALITIKA EU PROJEKATA'!$P$3:$P$501,"=412")</f>
        <v>0</v>
      </c>
      <c r="T41" s="138">
        <f>SUMIFS('Plan rashoda za unos u SAP'!$I$3:$I$501,'Plan rashoda za unos u SAP'!$C$3:$C$501,"=61",'Plan rashoda za unos u SAP'!$M$3:$M$501,"=412")+SUMIFS('ANALITIKA EU PROJEKATA'!$G$3:$G$501,'ANALITIKA EU PROJEKATA'!$A$3:$A$501,"=61",'ANALITIKA EU PROJEKATA'!$P$3:$P$501,"=412")</f>
        <v>0</v>
      </c>
      <c r="U41" s="138">
        <f>SUMIFS('Plan rashoda za unos u SAP'!$I$3:$I$501,'Plan rashoda za unos u SAP'!$C$3:$C$501,"=63",'Plan rashoda za unos u SAP'!$M$3:$M$501,"=412")+SUMIFS('ANALITIKA EU PROJEKATA'!$G$3:$G$501,'ANALITIKA EU PROJEKATA'!$A$3:$A$501,"=63",'ANALITIKA EU PROJEKATA'!$P$3:$P$501,"=412")</f>
        <v>0</v>
      </c>
      <c r="V41" s="138">
        <f>SUMIFS('Plan rashoda za unos u SAP'!$I$3:$I$501,'Plan rashoda za unos u SAP'!$C$3:$C$501,"=71",'Plan rashoda za unos u SAP'!$M$3:$M$501,"=412")+SUMIFS('ANALITIKA EU PROJEKATA'!$G$3:$G$501,'ANALITIKA EU PROJEKATA'!$A$3:$A$501,"=71",'ANALITIKA EU PROJEKATA'!$P$3:$P$501,"=412")</f>
        <v>0</v>
      </c>
      <c r="W41" s="138">
        <f>SUMIFS('Plan rashoda za unos u SAP'!$I$3:$I$501,'Plan rashoda za unos u SAP'!$C$3:$C$501,"=81",'Plan rashoda za unos u SAP'!$M$3:$M$501,"=412")+SUMIFS('ANALITIKA EU PROJEKATA'!$G$3:$G$501,'ANALITIKA EU PROJEKATA'!$A$3:$A$501,"=81",'ANALITIKA EU PROJEKATA'!$P$3:$P$501,"=412")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255</v>
      </c>
      <c r="D42" s="4">
        <f t="shared" si="10"/>
        <v>608500</v>
      </c>
      <c r="E42" s="4">
        <f t="shared" ref="E42:W42" si="13">SUM(E43:E48)</f>
        <v>168000</v>
      </c>
      <c r="F42" s="4">
        <f t="shared" si="13"/>
        <v>0</v>
      </c>
      <c r="G42" s="4">
        <f t="shared" si="13"/>
        <v>79000</v>
      </c>
      <c r="H42" s="4">
        <f>SUM(H43:H48)</f>
        <v>0</v>
      </c>
      <c r="I42" s="4">
        <f t="shared" si="13"/>
        <v>354000</v>
      </c>
      <c r="J42" s="4">
        <f t="shared" si="13"/>
        <v>0</v>
      </c>
      <c r="K42" s="4">
        <f t="shared" si="13"/>
        <v>7500</v>
      </c>
      <c r="L42" s="4">
        <f>SUM(L43:L48)</f>
        <v>0</v>
      </c>
      <c r="M42" s="4">
        <f t="shared" si="13"/>
        <v>0</v>
      </c>
      <c r="N42" s="4">
        <f t="shared" si="13"/>
        <v>0</v>
      </c>
      <c r="O42" s="4">
        <f t="shared" si="13"/>
        <v>0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>SUM(S43:S48)</f>
        <v>0</v>
      </c>
      <c r="T42" s="4">
        <f t="shared" si="13"/>
        <v>0</v>
      </c>
      <c r="U42" s="4">
        <f t="shared" si="13"/>
        <v>0</v>
      </c>
      <c r="V42" s="4">
        <f t="shared" si="13"/>
        <v>0</v>
      </c>
      <c r="W42" s="4">
        <f t="shared" si="13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214</v>
      </c>
      <c r="D43" s="14">
        <f t="shared" si="10"/>
        <v>0</v>
      </c>
      <c r="E43" s="138">
        <f>SUMIFS('Plan rashoda za unos u SAP'!$I$3:$I$501,'Plan rashoda za unos u SAP'!$C$3:$C$501,"=11",'Plan rashoda za unos u SAP'!$M$3:$M$501,"=421")+SUMIFS('ANALITIKA EU PROJEKATA'!$G$3:$G$501,'ANALITIKA EU PROJEKATA'!$A$3:$A$501,"=11",'ANALITIKA EU PROJEKATA'!$P$3:$P$501,"=421")</f>
        <v>0</v>
      </c>
      <c r="F43" s="138">
        <f>SUMIFS('Plan rashoda za unos u SAP'!$I$3:$I$501,'Plan rashoda za unos u SAP'!$C$3:$C$501,"=12",'Plan rashoda za unos u SAP'!$M$3:$M$501,"=421")+SUMIFS('ANALITIKA EU PROJEKATA'!$G$3:$G$501,'ANALITIKA EU PROJEKATA'!$A$3:$A$501,"=12",'ANALITIKA EU PROJEKATA'!$P$3:$P$501,"=421")</f>
        <v>0</v>
      </c>
      <c r="G43" s="138">
        <f>SUMIFS('Plan rashoda za unos u SAP'!$I$3:$I$501,'Plan rashoda za unos u SAP'!$C$3:$C$501,"=31",'Plan rashoda za unos u SAP'!$M$3:$M$501,"=421")+SUMIFS('ANALITIKA EU PROJEKATA'!$G$3:$G$501,'ANALITIKA EU PROJEKATA'!$A$3:$A$501,"=31",'ANALITIKA EU PROJEKATA'!$P$3:$P$501,"=421")</f>
        <v>0</v>
      </c>
      <c r="H43" s="138">
        <f>SUMIFS('Plan rashoda za unos u SAP'!$I$3:$I$501,'Plan rashoda za unos u SAP'!$C$3:$C$501,"=41",'Plan rashoda za unos u SAP'!$M$3:$M$501,"=421")+SUMIFS('ANALITIKA EU PROJEKATA'!$G$3:$G$501,'ANALITIKA EU PROJEKATA'!$A$3:$A$501,"=41",'ANALITIKA EU PROJEKATA'!$P$3:$P$501,"=421")</f>
        <v>0</v>
      </c>
      <c r="I43" s="138">
        <f>SUMIFS('Plan rashoda za unos u SAP'!$I$3:$I$501,'Plan rashoda za unos u SAP'!$C$3:$C$501,"=43",'Plan rashoda za unos u SAP'!$M$3:$M$501,"=421")+SUMIFS('ANALITIKA EU PROJEKATA'!$G$3:$G$501,'ANALITIKA EU PROJEKATA'!$A$3:$A$501,"=43",'ANALITIKA EU PROJEKATA'!$P$3:$P$501,"=421")</f>
        <v>0</v>
      </c>
      <c r="J43" s="138">
        <f>SUMIFS('Plan rashoda za unos u SAP'!$I$3:$I$501,'Plan rashoda za unos u SAP'!$C$3:$C$501,"=51",'Plan rashoda za unos u SAP'!$M$3:$M$501,"=421")+SUMIFS('ANALITIKA EU PROJEKATA'!$G$3:$G$501,'ANALITIKA EU PROJEKATA'!$A$3:$A$501,"=51",'ANALITIKA EU PROJEKATA'!$P$3:$P$501,"=421")</f>
        <v>0</v>
      </c>
      <c r="K43" s="138">
        <f>SUMIFS('Plan rashoda za unos u SAP'!$I$3:$I$501,'Plan rashoda za unos u SAP'!$C$3:$C$501,"=52",'Plan rashoda za unos u SAP'!$M$3:$M$501,"=421")+SUMIFS('ANALITIKA EU PROJEKATA'!$G$3:$G$501,'ANALITIKA EU PROJEKATA'!$A$3:$A$501,"=52",'ANALITIKA EU PROJEKATA'!$P$3:$P$501,"=421")</f>
        <v>0</v>
      </c>
      <c r="L43" s="138">
        <f>SUMIFS('Plan rashoda za unos u SAP'!$I$3:$I$501,'Plan rashoda za unos u SAP'!$C$3:$C$501,"=552",'Plan rashoda za unos u SAP'!$M$3:$M$501,"=421")+SUMIFS('ANALITIKA EU PROJEKATA'!$G$3:$G$501,'ANALITIKA EU PROJEKATA'!$A$3:$A$501,"=552",'ANALITIKA EU PROJEKATA'!$P$3:$P$501,"=421")</f>
        <v>0</v>
      </c>
      <c r="M43" s="138">
        <f>SUMIFS('Plan rashoda za unos u SAP'!$I$3:$I$501,'Plan rashoda za unos u SAP'!$C$3:$C$501,"=559",'Plan rashoda za unos u SAP'!$M$3:$M$501,"=421")+SUMIFS('ANALITIKA EU PROJEKATA'!$G$3:$G$501,'ANALITIKA EU PROJEKATA'!$A$3:$A$501,"=559",'ANALITIKA EU PROJEKATA'!$P$3:$P$501,"=421")</f>
        <v>0</v>
      </c>
      <c r="N43" s="138">
        <f>SUMIFS('Plan rashoda za unos u SAP'!$I$3:$I$501,'Plan rashoda za unos u SAP'!$C$3:$C$501,"=561",'Plan rashoda za unos u SAP'!$M$3:$M$501,"=421")+SUMIFS('ANALITIKA EU PROJEKATA'!$G$3:$G$501,'ANALITIKA EU PROJEKATA'!$A$3:$A$501,"=561",'ANALITIKA EU PROJEKATA'!$P$3:$P$501,"=421")</f>
        <v>0</v>
      </c>
      <c r="O43" s="138">
        <f>SUMIFS('Plan rashoda za unos u SAP'!$I$3:$I$501,'Plan rashoda za unos u SAP'!$C$3:$C$501,"=563",'Plan rashoda za unos u SAP'!$M$3:$M$501,"=421")+SUMIFS('ANALITIKA EU PROJEKATA'!$G$3:$G$501,'ANALITIKA EU PROJEKATA'!$A$3:$A$501,"=563",'ANALITIKA EU PROJEKATA'!$P$3:$P$501,"=421")</f>
        <v>0</v>
      </c>
      <c r="P43" s="138">
        <f>SUMIFS('Plan rashoda za unos u SAP'!$I$3:$I$501,'Plan rashoda za unos u SAP'!$C$3:$C$501,"=573",'Plan rashoda za unos u SAP'!$M$3:$M$501,"=421")+SUMIFS('ANALITIKA EU PROJEKATA'!$G$3:$G$501,'ANALITIKA EU PROJEKATA'!$A$3:$A$501,"=573",'ANALITIKA EU PROJEKATA'!$P$3:$P$501,"=421")</f>
        <v>0</v>
      </c>
      <c r="Q43" s="138">
        <f>SUMIFS('Plan rashoda za unos u SAP'!$I$3:$I$501,'Plan rashoda za unos u SAP'!$C$3:$C$501,"=575",'Plan rashoda za unos u SAP'!$M$3:$M$501,"=421")+SUMIFS('ANALITIKA EU PROJEKATA'!$G$3:$G$501,'ANALITIKA EU PROJEKATA'!$A$3:$A$501,"=575",'ANALITIKA EU PROJEKATA'!$P$3:$P$501,"=421")</f>
        <v>0</v>
      </c>
      <c r="R43" s="138">
        <f>SUMIFS('Plan rashoda za unos u SAP'!$I$3:$I$501,'Plan rashoda za unos u SAP'!$C$3:$C$501,"=576",'Plan rashoda za unos u SAP'!$M$3:$M$501,"=421")+SUMIFS('ANALITIKA EU PROJEKATA'!$G$3:$G$501,'ANALITIKA EU PROJEKATA'!$A$3:$A$501,"=576",'ANALITIKA EU PROJEKATA'!$P$3:$P$501,"=421")</f>
        <v>0</v>
      </c>
      <c r="S43" s="138">
        <f>SUMIFS('Plan rashoda za unos u SAP'!$I$3:$I$501,'Plan rashoda za unos u SAP'!$C$3:$C$501,"=581",'Plan rashoda za unos u SAP'!$M$3:$M$501,"=421")+SUMIFS('ANALITIKA EU PROJEKATA'!$G$3:$G$501,'ANALITIKA EU PROJEKATA'!$A$3:$A$501,"=581",'ANALITIKA EU PROJEKATA'!$P$3:$P$501,"=421")</f>
        <v>0</v>
      </c>
      <c r="T43" s="138">
        <f>SUMIFS('Plan rashoda za unos u SAP'!$I$3:$I$501,'Plan rashoda za unos u SAP'!$C$3:$C$501,"=61",'Plan rashoda za unos u SAP'!$M$3:$M$501,"=421")+SUMIFS('ANALITIKA EU PROJEKATA'!$G$3:$G$501,'ANALITIKA EU PROJEKATA'!$A$3:$A$501,"=61",'ANALITIKA EU PROJEKATA'!$P$3:$P$501,"=421")</f>
        <v>0</v>
      </c>
      <c r="U43" s="138">
        <f>SUMIFS('Plan rashoda za unos u SAP'!$I$3:$I$501,'Plan rashoda za unos u SAP'!$C$3:$C$501,"=63",'Plan rashoda za unos u SAP'!$M$3:$M$501,"=421")+SUMIFS('ANALITIKA EU PROJEKATA'!$G$3:$G$501,'ANALITIKA EU PROJEKATA'!$A$3:$A$501,"=63",'ANALITIKA EU PROJEKATA'!$P$3:$P$501,"=421")</f>
        <v>0</v>
      </c>
      <c r="V43" s="138">
        <f>SUMIFS('Plan rashoda za unos u SAP'!$I$3:$I$501,'Plan rashoda za unos u SAP'!$C$3:$C$501,"=71",'Plan rashoda za unos u SAP'!$M$3:$M$501,"=421")+SUMIFS('ANALITIKA EU PROJEKATA'!$G$3:$G$501,'ANALITIKA EU PROJEKATA'!$A$3:$A$501,"=71",'ANALITIKA EU PROJEKATA'!$P$3:$P$501,"=421")</f>
        <v>0</v>
      </c>
      <c r="W43" s="138">
        <f>SUMIFS('Plan rashoda za unos u SAP'!$I$3:$I$501,'Plan rashoda za unos u SAP'!$C$3:$C$501,"=81",'Plan rashoda za unos u SAP'!$M$3:$M$501,"=421")+SUMIFS('ANALITIKA EU PROJEKATA'!$G$3:$G$501,'ANALITIKA EU PROJEKATA'!$A$3:$A$501,"=81",'ANALITIKA EU PROJEKATA'!$P$3:$P$501,"=421")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215</v>
      </c>
      <c r="D44" s="14">
        <f t="shared" si="10"/>
        <v>398500</v>
      </c>
      <c r="E44" s="138">
        <f>SUMIFS('Plan rashoda za unos u SAP'!$I$3:$I$501,'Plan rashoda za unos u SAP'!$C$3:$C$501,"=11",'Plan rashoda za unos u SAP'!$M$3:$M$501,"=422")+SUMIFS('ANALITIKA EU PROJEKATA'!$G$3:$G$501,'ANALITIKA EU PROJEKATA'!$A$3:$A$501,"=11",'ANALITIKA EU PROJEKATA'!$P$3:$P$501,"=422")</f>
        <v>46000</v>
      </c>
      <c r="F44" s="138">
        <f>SUMIFS('Plan rashoda za unos u SAP'!$I$3:$I$501,'Plan rashoda za unos u SAP'!$C$3:$C$501,"=12",'Plan rashoda za unos u SAP'!$M$3:$M$501,"=422")+SUMIFS('ANALITIKA EU PROJEKATA'!$G$3:$G$501,'ANALITIKA EU PROJEKATA'!$A$3:$A$501,"=12",'ANALITIKA EU PROJEKATA'!$P$3:$P$501,"=422")</f>
        <v>0</v>
      </c>
      <c r="G44" s="138">
        <f>SUMIFS('Plan rashoda za unos u SAP'!$I$3:$I$501,'Plan rashoda za unos u SAP'!$C$3:$C$501,"=31",'Plan rashoda za unos u SAP'!$M$3:$M$501,"=422")+SUMIFS('ANALITIKA EU PROJEKATA'!$G$3:$G$501,'ANALITIKA EU PROJEKATA'!$A$3:$A$501,"=31",'ANALITIKA EU PROJEKATA'!$P$3:$P$501,"=422")</f>
        <v>66000</v>
      </c>
      <c r="H44" s="138">
        <f>SUMIFS('Plan rashoda za unos u SAP'!$I$3:$I$501,'Plan rashoda za unos u SAP'!$C$3:$C$501,"=41",'Plan rashoda za unos u SAP'!$M$3:$M$501,"=422")+SUMIFS('ANALITIKA EU PROJEKATA'!$G$3:$G$501,'ANALITIKA EU PROJEKATA'!$A$3:$A$501,"=41",'ANALITIKA EU PROJEKATA'!$P$3:$P$501,"=422")</f>
        <v>0</v>
      </c>
      <c r="I44" s="138">
        <f>SUMIFS('Plan rashoda za unos u SAP'!$I$3:$I$501,'Plan rashoda za unos u SAP'!$C$3:$C$501,"=43",'Plan rashoda za unos u SAP'!$M$3:$M$501,"=422")+SUMIFS('ANALITIKA EU PROJEKATA'!$G$3:$G$501,'ANALITIKA EU PROJEKATA'!$A$3:$A$501,"=43",'ANALITIKA EU PROJEKATA'!$P$3:$P$501,"=422")</f>
        <v>279000</v>
      </c>
      <c r="J44" s="138">
        <f>SUMIFS('Plan rashoda za unos u SAP'!$I$3:$I$501,'Plan rashoda za unos u SAP'!$C$3:$C$501,"=51",'Plan rashoda za unos u SAP'!$M$3:$M$501,"=422")+SUMIFS('ANALITIKA EU PROJEKATA'!$G$3:$G$501,'ANALITIKA EU PROJEKATA'!$A$3:$A$501,"=51",'ANALITIKA EU PROJEKATA'!$P$3:$P$501,"=422")</f>
        <v>0</v>
      </c>
      <c r="K44" s="138">
        <f>SUMIFS('Plan rashoda za unos u SAP'!$I$3:$I$501,'Plan rashoda za unos u SAP'!$C$3:$C$501,"=52",'Plan rashoda za unos u SAP'!$M$3:$M$501,"=422")+SUMIFS('ANALITIKA EU PROJEKATA'!$G$3:$G$501,'ANALITIKA EU PROJEKATA'!$A$3:$A$501,"=52",'ANALITIKA EU PROJEKATA'!$P$3:$P$501,"=422")</f>
        <v>7500</v>
      </c>
      <c r="L44" s="138">
        <f>SUMIFS('Plan rashoda za unos u SAP'!$I$3:$I$501,'Plan rashoda za unos u SAP'!$C$3:$C$501,"=552",'Plan rashoda za unos u SAP'!$M$3:$M$501,"=422")+SUMIFS('ANALITIKA EU PROJEKATA'!$G$3:$G$501,'ANALITIKA EU PROJEKATA'!$A$3:$A$501,"=552",'ANALITIKA EU PROJEKATA'!$P$3:$P$501,"=422")</f>
        <v>0</v>
      </c>
      <c r="M44" s="138">
        <f>SUMIFS('Plan rashoda za unos u SAP'!$I$3:$I$501,'Plan rashoda za unos u SAP'!$C$3:$C$501,"=559",'Plan rashoda za unos u SAP'!$M$3:$M$501,"=422")+SUMIFS('ANALITIKA EU PROJEKATA'!$G$3:$G$501,'ANALITIKA EU PROJEKATA'!$A$3:$A$501,"=559",'ANALITIKA EU PROJEKATA'!$P$3:$P$501,"=422")</f>
        <v>0</v>
      </c>
      <c r="N44" s="138">
        <f>SUMIFS('Plan rashoda za unos u SAP'!$I$3:$I$501,'Plan rashoda za unos u SAP'!$C$3:$C$501,"=561",'Plan rashoda za unos u SAP'!$M$3:$M$501,"=422")+SUMIFS('ANALITIKA EU PROJEKATA'!$G$3:$G$501,'ANALITIKA EU PROJEKATA'!$A$3:$A$501,"=561",'ANALITIKA EU PROJEKATA'!$P$3:$P$501,"=422")</f>
        <v>0</v>
      </c>
      <c r="O44" s="138">
        <f>SUMIFS('Plan rashoda za unos u SAP'!$I$3:$I$501,'Plan rashoda za unos u SAP'!$C$3:$C$501,"=563",'Plan rashoda za unos u SAP'!$M$3:$M$501,"=422")+SUMIFS('ANALITIKA EU PROJEKATA'!$G$3:$G$501,'ANALITIKA EU PROJEKATA'!$A$3:$A$501,"=563",'ANALITIKA EU PROJEKATA'!$P$3:$P$501,"=422")</f>
        <v>0</v>
      </c>
      <c r="P44" s="138">
        <f>SUMIFS('Plan rashoda za unos u SAP'!$I$3:$I$501,'Plan rashoda za unos u SAP'!$C$3:$C$501,"=573",'Plan rashoda za unos u SAP'!$M$3:$M$501,"=422")+SUMIFS('ANALITIKA EU PROJEKATA'!$G$3:$G$501,'ANALITIKA EU PROJEKATA'!$A$3:$A$501,"=573",'ANALITIKA EU PROJEKATA'!$P$3:$P$501,"=422")</f>
        <v>0</v>
      </c>
      <c r="Q44" s="138">
        <f>SUMIFS('Plan rashoda za unos u SAP'!$I$3:$I$501,'Plan rashoda za unos u SAP'!$C$3:$C$501,"=575",'Plan rashoda za unos u SAP'!$M$3:$M$501,"=422")+SUMIFS('ANALITIKA EU PROJEKATA'!$G$3:$G$501,'ANALITIKA EU PROJEKATA'!$A$3:$A$501,"=575",'ANALITIKA EU PROJEKATA'!$P$3:$P$501,"=422")</f>
        <v>0</v>
      </c>
      <c r="R44" s="138">
        <f>SUMIFS('Plan rashoda za unos u SAP'!$I$3:$I$501,'Plan rashoda za unos u SAP'!$C$3:$C$501,"=576",'Plan rashoda za unos u SAP'!$M$3:$M$501,"=422")+SUMIFS('ANALITIKA EU PROJEKATA'!$G$3:$G$501,'ANALITIKA EU PROJEKATA'!$A$3:$A$501,"=576",'ANALITIKA EU PROJEKATA'!$P$3:$P$501,"=422")</f>
        <v>0</v>
      </c>
      <c r="S44" s="138">
        <f>SUMIFS('Plan rashoda za unos u SAP'!$I$3:$I$501,'Plan rashoda za unos u SAP'!$C$3:$C$501,"=581",'Plan rashoda za unos u SAP'!$M$3:$M$501,"=422")+SUMIFS('ANALITIKA EU PROJEKATA'!$G$3:$G$501,'ANALITIKA EU PROJEKATA'!$A$3:$A$501,"=581",'ANALITIKA EU PROJEKATA'!$P$3:$P$501,"=422")</f>
        <v>0</v>
      </c>
      <c r="T44" s="138">
        <f>SUMIFS('Plan rashoda za unos u SAP'!$I$3:$I$501,'Plan rashoda za unos u SAP'!$C$3:$C$501,"=61",'Plan rashoda za unos u SAP'!$M$3:$M$501,"=422")+SUMIFS('ANALITIKA EU PROJEKATA'!$G$3:$G$501,'ANALITIKA EU PROJEKATA'!$A$3:$A$501,"=61",'ANALITIKA EU PROJEKATA'!$P$3:$P$501,"=422")</f>
        <v>0</v>
      </c>
      <c r="U44" s="138">
        <f>SUMIFS('Plan rashoda za unos u SAP'!$I$3:$I$501,'Plan rashoda za unos u SAP'!$C$3:$C$501,"=63",'Plan rashoda za unos u SAP'!$M$3:$M$501,"=422")+SUMIFS('ANALITIKA EU PROJEKATA'!$G$3:$G$501,'ANALITIKA EU PROJEKATA'!$A$3:$A$501,"=63",'ANALITIKA EU PROJEKATA'!$P$3:$P$501,"=422")</f>
        <v>0</v>
      </c>
      <c r="V44" s="138">
        <f>SUMIFS('Plan rashoda za unos u SAP'!$I$3:$I$501,'Plan rashoda za unos u SAP'!$C$3:$C$501,"=71",'Plan rashoda za unos u SAP'!$M$3:$M$501,"=422")+SUMIFS('ANALITIKA EU PROJEKATA'!$G$3:$G$501,'ANALITIKA EU PROJEKATA'!$A$3:$A$501,"=71",'ANALITIKA EU PROJEKATA'!$P$3:$P$501,"=422")</f>
        <v>0</v>
      </c>
      <c r="W44" s="138">
        <f>SUMIFS('Plan rashoda za unos u SAP'!$I$3:$I$501,'Plan rashoda za unos u SAP'!$C$3:$C$501,"=81",'Plan rashoda za unos u SAP'!$M$3:$M$501,"=422")+SUMIFS('ANALITIKA EU PROJEKATA'!$G$3:$G$501,'ANALITIKA EU PROJEKATA'!$A$3:$A$501,"=81",'ANALITIKA EU PROJEKATA'!$P$3:$P$501,"=422")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216</v>
      </c>
      <c r="D45" s="14">
        <f t="shared" si="10"/>
        <v>0</v>
      </c>
      <c r="E45" s="138">
        <f>SUMIFS('Plan rashoda za unos u SAP'!$I$3:$I$501,'Plan rashoda za unos u SAP'!$C$3:$C$501,"=11",'Plan rashoda za unos u SAP'!$M$3:$M$501,"=423")+SUMIFS('ANALITIKA EU PROJEKATA'!$G$3:$G$501,'ANALITIKA EU PROJEKATA'!$A$3:$A$501,"=11",'ANALITIKA EU PROJEKATA'!$P$3:$P$501,"=423")</f>
        <v>0</v>
      </c>
      <c r="F45" s="138">
        <f>SUMIFS('Plan rashoda za unos u SAP'!$I$3:$I$501,'Plan rashoda za unos u SAP'!$C$3:$C$501,"=12",'Plan rashoda za unos u SAP'!$M$3:$M$501,"=423")+SUMIFS('ANALITIKA EU PROJEKATA'!$G$3:$G$501,'ANALITIKA EU PROJEKATA'!$A$3:$A$501,"=12",'ANALITIKA EU PROJEKATA'!$P$3:$P$501,"=423")</f>
        <v>0</v>
      </c>
      <c r="G45" s="138">
        <f>SUMIFS('Plan rashoda za unos u SAP'!$I$3:$I$501,'Plan rashoda za unos u SAP'!$C$3:$C$501,"=31",'Plan rashoda za unos u SAP'!$M$3:$M$501,"=423")+SUMIFS('ANALITIKA EU PROJEKATA'!$G$3:$G$501,'ANALITIKA EU PROJEKATA'!$A$3:$A$501,"=31",'ANALITIKA EU PROJEKATA'!$P$3:$P$501,"=423")</f>
        <v>0</v>
      </c>
      <c r="H45" s="138">
        <f>SUMIFS('Plan rashoda za unos u SAP'!$I$3:$I$501,'Plan rashoda za unos u SAP'!$C$3:$C$501,"=41",'Plan rashoda za unos u SAP'!$M$3:$M$501,"=423")+SUMIFS('ANALITIKA EU PROJEKATA'!$G$3:$G$501,'ANALITIKA EU PROJEKATA'!$A$3:$A$501,"=41",'ANALITIKA EU PROJEKATA'!$P$3:$P$501,"=423")</f>
        <v>0</v>
      </c>
      <c r="I45" s="138">
        <f>SUMIFS('Plan rashoda za unos u SAP'!$I$3:$I$501,'Plan rashoda za unos u SAP'!$C$3:$C$501,"=43",'Plan rashoda za unos u SAP'!$M$3:$M$501,"=423")+SUMIFS('ANALITIKA EU PROJEKATA'!$G$3:$G$501,'ANALITIKA EU PROJEKATA'!$A$3:$A$501,"=43",'ANALITIKA EU PROJEKATA'!$P$3:$P$501,"=423")</f>
        <v>0</v>
      </c>
      <c r="J45" s="138">
        <f>SUMIFS('Plan rashoda za unos u SAP'!$I$3:$I$501,'Plan rashoda za unos u SAP'!$C$3:$C$501,"=51",'Plan rashoda za unos u SAP'!$M$3:$M$501,"=423")+SUMIFS('ANALITIKA EU PROJEKATA'!$G$3:$G$501,'ANALITIKA EU PROJEKATA'!$A$3:$A$501,"=51",'ANALITIKA EU PROJEKATA'!$P$3:$P$501,"=423")</f>
        <v>0</v>
      </c>
      <c r="K45" s="138">
        <f>SUMIFS('Plan rashoda za unos u SAP'!$I$3:$I$501,'Plan rashoda za unos u SAP'!$C$3:$C$501,"=52",'Plan rashoda za unos u SAP'!$M$3:$M$501,"=423")+SUMIFS('ANALITIKA EU PROJEKATA'!$G$3:$G$501,'ANALITIKA EU PROJEKATA'!$A$3:$A$501,"=52",'ANALITIKA EU PROJEKATA'!$P$3:$P$501,"=423")</f>
        <v>0</v>
      </c>
      <c r="L45" s="138">
        <f>SUMIFS('Plan rashoda za unos u SAP'!$I$3:$I$501,'Plan rashoda za unos u SAP'!$C$3:$C$501,"=552",'Plan rashoda za unos u SAP'!$M$3:$M$501,"=423")+SUMIFS('ANALITIKA EU PROJEKATA'!$G$3:$G$501,'ANALITIKA EU PROJEKATA'!$A$3:$A$501,"=552",'ANALITIKA EU PROJEKATA'!$P$3:$P$501,"=423")</f>
        <v>0</v>
      </c>
      <c r="M45" s="138">
        <f>SUMIFS('Plan rashoda za unos u SAP'!$I$3:$I$501,'Plan rashoda za unos u SAP'!$C$3:$C$501,"=559",'Plan rashoda za unos u SAP'!$M$3:$M$501,"=423")+SUMIFS('ANALITIKA EU PROJEKATA'!$G$3:$G$501,'ANALITIKA EU PROJEKATA'!$A$3:$A$501,"=559",'ANALITIKA EU PROJEKATA'!$P$3:$P$501,"=423")</f>
        <v>0</v>
      </c>
      <c r="N45" s="138">
        <f>SUMIFS('Plan rashoda za unos u SAP'!$I$3:$I$501,'Plan rashoda za unos u SAP'!$C$3:$C$501,"=561",'Plan rashoda za unos u SAP'!$M$3:$M$501,"=423")+SUMIFS('ANALITIKA EU PROJEKATA'!$G$3:$G$501,'ANALITIKA EU PROJEKATA'!$A$3:$A$501,"=561",'ANALITIKA EU PROJEKATA'!$P$3:$P$501,"=423")</f>
        <v>0</v>
      </c>
      <c r="O45" s="138">
        <f>SUMIFS('Plan rashoda za unos u SAP'!$I$3:$I$501,'Plan rashoda za unos u SAP'!$C$3:$C$501,"=563",'Plan rashoda za unos u SAP'!$M$3:$M$501,"=423")+SUMIFS('ANALITIKA EU PROJEKATA'!$G$3:$G$501,'ANALITIKA EU PROJEKATA'!$A$3:$A$501,"=563",'ANALITIKA EU PROJEKATA'!$P$3:$P$501,"=423")</f>
        <v>0</v>
      </c>
      <c r="P45" s="138">
        <f>SUMIFS('Plan rashoda za unos u SAP'!$I$3:$I$501,'Plan rashoda za unos u SAP'!$C$3:$C$501,"=573",'Plan rashoda za unos u SAP'!$M$3:$M$501,"=423")+SUMIFS('ANALITIKA EU PROJEKATA'!$G$3:$G$501,'ANALITIKA EU PROJEKATA'!$A$3:$A$501,"=573",'ANALITIKA EU PROJEKATA'!$P$3:$P$501,"=423")</f>
        <v>0</v>
      </c>
      <c r="Q45" s="138">
        <f>SUMIFS('Plan rashoda za unos u SAP'!$I$3:$I$501,'Plan rashoda za unos u SAP'!$C$3:$C$501,"=575",'Plan rashoda za unos u SAP'!$M$3:$M$501,"=423")+SUMIFS('ANALITIKA EU PROJEKATA'!$G$3:$G$501,'ANALITIKA EU PROJEKATA'!$A$3:$A$501,"=575",'ANALITIKA EU PROJEKATA'!$P$3:$P$501,"=423")</f>
        <v>0</v>
      </c>
      <c r="R45" s="138">
        <f>SUMIFS('Plan rashoda za unos u SAP'!$I$3:$I$501,'Plan rashoda za unos u SAP'!$C$3:$C$501,"=576",'Plan rashoda za unos u SAP'!$M$3:$M$501,"=423")+SUMIFS('ANALITIKA EU PROJEKATA'!$G$3:$G$501,'ANALITIKA EU PROJEKATA'!$A$3:$A$501,"=576",'ANALITIKA EU PROJEKATA'!$P$3:$P$501,"=423")</f>
        <v>0</v>
      </c>
      <c r="S45" s="138">
        <f>SUMIFS('Plan rashoda za unos u SAP'!$I$3:$I$501,'Plan rashoda za unos u SAP'!$C$3:$C$501,"=581",'Plan rashoda za unos u SAP'!$M$3:$M$501,"=423")+SUMIFS('ANALITIKA EU PROJEKATA'!$G$3:$G$501,'ANALITIKA EU PROJEKATA'!$A$3:$A$501,"=581",'ANALITIKA EU PROJEKATA'!$P$3:$P$501,"=423")</f>
        <v>0</v>
      </c>
      <c r="T45" s="138">
        <f>SUMIFS('Plan rashoda za unos u SAP'!$I$3:$I$501,'Plan rashoda za unos u SAP'!$C$3:$C$501,"=61",'Plan rashoda za unos u SAP'!$M$3:$M$501,"=423")+SUMIFS('ANALITIKA EU PROJEKATA'!$G$3:$G$501,'ANALITIKA EU PROJEKATA'!$A$3:$A$501,"=61",'ANALITIKA EU PROJEKATA'!$P$3:$P$501,"=423")</f>
        <v>0</v>
      </c>
      <c r="U45" s="138">
        <f>SUMIFS('Plan rashoda za unos u SAP'!$I$3:$I$501,'Plan rashoda za unos u SAP'!$C$3:$C$501,"=63",'Plan rashoda za unos u SAP'!$M$3:$M$501,"=423")+SUMIFS('ANALITIKA EU PROJEKATA'!$G$3:$G$501,'ANALITIKA EU PROJEKATA'!$A$3:$A$501,"=63",'ANALITIKA EU PROJEKATA'!$P$3:$P$501,"=423")</f>
        <v>0</v>
      </c>
      <c r="V45" s="138">
        <f>SUMIFS('Plan rashoda za unos u SAP'!$I$3:$I$501,'Plan rashoda za unos u SAP'!$C$3:$C$501,"=71",'Plan rashoda za unos u SAP'!$M$3:$M$501,"=423")+SUMIFS('ANALITIKA EU PROJEKATA'!$G$3:$G$501,'ANALITIKA EU PROJEKATA'!$A$3:$A$501,"=71",'ANALITIKA EU PROJEKATA'!$P$3:$P$501,"=423")</f>
        <v>0</v>
      </c>
      <c r="W45" s="138">
        <f>SUMIFS('Plan rashoda za unos u SAP'!$I$3:$I$501,'Plan rashoda za unos u SAP'!$C$3:$C$501,"=81",'Plan rashoda za unos u SAP'!$M$3:$M$501,"=423")+SUMIFS('ANALITIKA EU PROJEKATA'!$G$3:$G$501,'ANALITIKA EU PROJEKATA'!$A$3:$A$501,"=81",'ANALITIKA EU PROJEKATA'!$P$3:$P$501,"=423")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217</v>
      </c>
      <c r="D46" s="14">
        <f t="shared" si="10"/>
        <v>200000</v>
      </c>
      <c r="E46" s="138">
        <f>SUMIFS('Plan rashoda za unos u SAP'!$I$3:$I$501,'Plan rashoda za unos u SAP'!$C$3:$C$501,"=11",'Plan rashoda za unos u SAP'!$M$3:$M$501,"=424")+SUMIFS('ANALITIKA EU PROJEKATA'!$G$3:$G$501,'ANALITIKA EU PROJEKATA'!$A$3:$A$501,"=11",'ANALITIKA EU PROJEKATA'!$P$3:$P$501,"=424")</f>
        <v>122000</v>
      </c>
      <c r="F46" s="138">
        <f>SUMIFS('Plan rashoda za unos u SAP'!$I$3:$I$501,'Plan rashoda za unos u SAP'!$C$3:$C$501,"=12",'Plan rashoda za unos u SAP'!$M$3:$M$501,"=424")+SUMIFS('ANALITIKA EU PROJEKATA'!$G$3:$G$501,'ANALITIKA EU PROJEKATA'!$A$3:$A$501,"=12",'ANALITIKA EU PROJEKATA'!$P$3:$P$501,"=424")</f>
        <v>0</v>
      </c>
      <c r="G46" s="138">
        <f>SUMIFS('Plan rashoda za unos u SAP'!$I$3:$I$501,'Plan rashoda za unos u SAP'!$C$3:$C$501,"=31",'Plan rashoda za unos u SAP'!$M$3:$M$501,"=424")+SUMIFS('ANALITIKA EU PROJEKATA'!$G$3:$G$501,'ANALITIKA EU PROJEKATA'!$A$3:$A$501,"=31",'ANALITIKA EU PROJEKATA'!$P$3:$P$501,"=424")</f>
        <v>13000</v>
      </c>
      <c r="H46" s="138">
        <f>SUMIFS('Plan rashoda za unos u SAP'!$I$3:$I$501,'Plan rashoda za unos u SAP'!$C$3:$C$501,"=41",'Plan rashoda za unos u SAP'!$M$3:$M$501,"=424")+SUMIFS('ANALITIKA EU PROJEKATA'!$G$3:$G$501,'ANALITIKA EU PROJEKATA'!$A$3:$A$501,"=41",'ANALITIKA EU PROJEKATA'!$P$3:$P$501,"=424")</f>
        <v>0</v>
      </c>
      <c r="I46" s="138">
        <f>SUMIFS('Plan rashoda za unos u SAP'!$I$3:$I$501,'Plan rashoda za unos u SAP'!$C$3:$C$501,"=43",'Plan rashoda za unos u SAP'!$M$3:$M$501,"=424")+SUMIFS('ANALITIKA EU PROJEKATA'!$G$3:$G$501,'ANALITIKA EU PROJEKATA'!$A$3:$A$501,"=43",'ANALITIKA EU PROJEKATA'!$P$3:$P$501,"=424")</f>
        <v>65000</v>
      </c>
      <c r="J46" s="138">
        <f>SUMIFS('Plan rashoda za unos u SAP'!$I$3:$I$501,'Plan rashoda za unos u SAP'!$C$3:$C$501,"=51",'Plan rashoda za unos u SAP'!$M$3:$M$501,"=424")+SUMIFS('ANALITIKA EU PROJEKATA'!$G$3:$G$501,'ANALITIKA EU PROJEKATA'!$A$3:$A$501,"=51",'ANALITIKA EU PROJEKATA'!$P$3:$P$501,"=424")</f>
        <v>0</v>
      </c>
      <c r="K46" s="138">
        <f>SUMIFS('Plan rashoda za unos u SAP'!$I$3:$I$501,'Plan rashoda za unos u SAP'!$C$3:$C$501,"=52",'Plan rashoda za unos u SAP'!$M$3:$M$501,"=424")+SUMIFS('ANALITIKA EU PROJEKATA'!$G$3:$G$501,'ANALITIKA EU PROJEKATA'!$A$3:$A$501,"=52",'ANALITIKA EU PROJEKATA'!$P$3:$P$501,"=424")</f>
        <v>0</v>
      </c>
      <c r="L46" s="138">
        <f>SUMIFS('Plan rashoda za unos u SAP'!$I$3:$I$501,'Plan rashoda za unos u SAP'!$C$3:$C$501,"=552",'Plan rashoda za unos u SAP'!$M$3:$M$501,"=424")+SUMIFS('ANALITIKA EU PROJEKATA'!$G$3:$G$501,'ANALITIKA EU PROJEKATA'!$A$3:$A$501,"=552",'ANALITIKA EU PROJEKATA'!$P$3:$P$501,"=424")</f>
        <v>0</v>
      </c>
      <c r="M46" s="138">
        <f>SUMIFS('Plan rashoda za unos u SAP'!$I$3:$I$501,'Plan rashoda za unos u SAP'!$C$3:$C$501,"=559",'Plan rashoda za unos u SAP'!$M$3:$M$501,"=424")+SUMIFS('ANALITIKA EU PROJEKATA'!$G$3:$G$501,'ANALITIKA EU PROJEKATA'!$A$3:$A$501,"=559",'ANALITIKA EU PROJEKATA'!$P$3:$P$501,"=424")</f>
        <v>0</v>
      </c>
      <c r="N46" s="138">
        <f>SUMIFS('Plan rashoda za unos u SAP'!$I$3:$I$501,'Plan rashoda za unos u SAP'!$C$3:$C$501,"=561",'Plan rashoda za unos u SAP'!$M$3:$M$501,"=424")+SUMIFS('ANALITIKA EU PROJEKATA'!$G$3:$G$501,'ANALITIKA EU PROJEKATA'!$A$3:$A$501,"=561",'ANALITIKA EU PROJEKATA'!$P$3:$P$501,"=424")</f>
        <v>0</v>
      </c>
      <c r="O46" s="138">
        <f>SUMIFS('Plan rashoda za unos u SAP'!$I$3:$I$501,'Plan rashoda za unos u SAP'!$C$3:$C$501,"=563",'Plan rashoda za unos u SAP'!$M$3:$M$501,"=424")+SUMIFS('ANALITIKA EU PROJEKATA'!$G$3:$G$501,'ANALITIKA EU PROJEKATA'!$A$3:$A$501,"=563",'ANALITIKA EU PROJEKATA'!$P$3:$P$501,"=424")</f>
        <v>0</v>
      </c>
      <c r="P46" s="138">
        <f>SUMIFS('Plan rashoda za unos u SAP'!$I$3:$I$501,'Plan rashoda za unos u SAP'!$C$3:$C$501,"=573",'Plan rashoda za unos u SAP'!$M$3:$M$501,"=424")+SUMIFS('ANALITIKA EU PROJEKATA'!$G$3:$G$501,'ANALITIKA EU PROJEKATA'!$A$3:$A$501,"=573",'ANALITIKA EU PROJEKATA'!$P$3:$P$501,"=424")</f>
        <v>0</v>
      </c>
      <c r="Q46" s="138">
        <f>SUMIFS('Plan rashoda za unos u SAP'!$I$3:$I$501,'Plan rashoda za unos u SAP'!$C$3:$C$501,"=575",'Plan rashoda za unos u SAP'!$M$3:$M$501,"=424")+SUMIFS('ANALITIKA EU PROJEKATA'!$G$3:$G$501,'ANALITIKA EU PROJEKATA'!$A$3:$A$501,"=575",'ANALITIKA EU PROJEKATA'!$P$3:$P$501,"=424")</f>
        <v>0</v>
      </c>
      <c r="R46" s="138">
        <f>SUMIFS('Plan rashoda za unos u SAP'!$I$3:$I$501,'Plan rashoda za unos u SAP'!$C$3:$C$501,"=576",'Plan rashoda za unos u SAP'!$M$3:$M$501,"=424")+SUMIFS('ANALITIKA EU PROJEKATA'!$G$3:$G$501,'ANALITIKA EU PROJEKATA'!$A$3:$A$501,"=576",'ANALITIKA EU PROJEKATA'!$P$3:$P$501,"=424")</f>
        <v>0</v>
      </c>
      <c r="S46" s="138">
        <f>SUMIFS('Plan rashoda za unos u SAP'!$I$3:$I$501,'Plan rashoda za unos u SAP'!$C$3:$C$501,"=581",'Plan rashoda za unos u SAP'!$M$3:$M$501,"=424")+SUMIFS('ANALITIKA EU PROJEKATA'!$G$3:$G$501,'ANALITIKA EU PROJEKATA'!$A$3:$A$501,"=581",'ANALITIKA EU PROJEKATA'!$P$3:$P$501,"=424")</f>
        <v>0</v>
      </c>
      <c r="T46" s="138">
        <f>SUMIFS('Plan rashoda za unos u SAP'!$I$3:$I$501,'Plan rashoda za unos u SAP'!$C$3:$C$501,"=61",'Plan rashoda za unos u SAP'!$M$3:$M$501,"=424")+SUMIFS('ANALITIKA EU PROJEKATA'!$G$3:$G$501,'ANALITIKA EU PROJEKATA'!$A$3:$A$501,"=61",'ANALITIKA EU PROJEKATA'!$P$3:$P$501,"=424")</f>
        <v>0</v>
      </c>
      <c r="U46" s="138">
        <f>SUMIFS('Plan rashoda za unos u SAP'!$I$3:$I$501,'Plan rashoda za unos u SAP'!$C$3:$C$501,"=63",'Plan rashoda za unos u SAP'!$M$3:$M$501,"=424")+SUMIFS('ANALITIKA EU PROJEKATA'!$G$3:$G$501,'ANALITIKA EU PROJEKATA'!$A$3:$A$501,"=63",'ANALITIKA EU PROJEKATA'!$P$3:$P$501,"=424")</f>
        <v>0</v>
      </c>
      <c r="V46" s="138">
        <f>SUMIFS('Plan rashoda za unos u SAP'!$I$3:$I$501,'Plan rashoda za unos u SAP'!$C$3:$C$501,"=71",'Plan rashoda za unos u SAP'!$M$3:$M$501,"=424")+SUMIFS('ANALITIKA EU PROJEKATA'!$G$3:$G$501,'ANALITIKA EU PROJEKATA'!$A$3:$A$501,"=71",'ANALITIKA EU PROJEKATA'!$P$3:$P$501,"=424")</f>
        <v>0</v>
      </c>
      <c r="W46" s="138">
        <f>SUMIFS('Plan rashoda za unos u SAP'!$I$3:$I$501,'Plan rashoda za unos u SAP'!$C$3:$C$501,"=81",'Plan rashoda za unos u SAP'!$M$3:$M$501,"=424")+SUMIFS('ANALITIKA EU PROJEKATA'!$G$3:$G$501,'ANALITIKA EU PROJEKATA'!$A$3:$A$501,"=81",'ANALITIKA EU PROJEKATA'!$P$3:$P$501,"=424")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336</v>
      </c>
      <c r="D47" s="14">
        <f t="shared" si="10"/>
        <v>0</v>
      </c>
      <c r="E47" s="138">
        <f>SUMIFS('Plan rashoda za unos u SAP'!$I$3:$I$501,'Plan rashoda za unos u SAP'!$C$3:$C$501,"=11",'Plan rashoda za unos u SAP'!$M$3:$M$501,"=425")+SUMIFS('ANALITIKA EU PROJEKATA'!$G$3:$G$501,'ANALITIKA EU PROJEKATA'!$A$3:$A$501,"=11",'ANALITIKA EU PROJEKATA'!$P$3:$P$501,"=425")</f>
        <v>0</v>
      </c>
      <c r="F47" s="138">
        <f>SUMIFS('Plan rashoda za unos u SAP'!$I$3:$I$501,'Plan rashoda za unos u SAP'!$C$3:$C$501,"=12",'Plan rashoda za unos u SAP'!$M$3:$M$501,"=425")+SUMIFS('ANALITIKA EU PROJEKATA'!$G$3:$G$501,'ANALITIKA EU PROJEKATA'!$A$3:$A$501,"=12",'ANALITIKA EU PROJEKATA'!$P$3:$P$501,"=425")</f>
        <v>0</v>
      </c>
      <c r="G47" s="138">
        <f>SUMIFS('Plan rashoda za unos u SAP'!$I$3:$I$501,'Plan rashoda za unos u SAP'!$C$3:$C$501,"=31",'Plan rashoda za unos u SAP'!$M$3:$M$501,"=425")+SUMIFS('ANALITIKA EU PROJEKATA'!$G$3:$G$501,'ANALITIKA EU PROJEKATA'!$A$3:$A$501,"=31",'ANALITIKA EU PROJEKATA'!$P$3:$P$501,"=425")</f>
        <v>0</v>
      </c>
      <c r="H47" s="138">
        <f>SUMIFS('Plan rashoda za unos u SAP'!$I$3:$I$501,'Plan rashoda za unos u SAP'!$C$3:$C$501,"=41",'Plan rashoda za unos u SAP'!$M$3:$M$501,"=425")+SUMIFS('ANALITIKA EU PROJEKATA'!$G$3:$G$501,'ANALITIKA EU PROJEKATA'!$A$3:$A$501,"=41",'ANALITIKA EU PROJEKATA'!$P$3:$P$501,"=425")</f>
        <v>0</v>
      </c>
      <c r="I47" s="138">
        <f>SUMIFS('Plan rashoda za unos u SAP'!$I$3:$I$501,'Plan rashoda za unos u SAP'!$C$3:$C$501,"=43",'Plan rashoda za unos u SAP'!$M$3:$M$501,"=425")+SUMIFS('ANALITIKA EU PROJEKATA'!$G$3:$G$501,'ANALITIKA EU PROJEKATA'!$A$3:$A$501,"=43",'ANALITIKA EU PROJEKATA'!$P$3:$P$501,"=425")</f>
        <v>0</v>
      </c>
      <c r="J47" s="138">
        <f>SUMIFS('Plan rashoda za unos u SAP'!$I$3:$I$501,'Plan rashoda za unos u SAP'!$C$3:$C$501,"=51",'Plan rashoda za unos u SAP'!$M$3:$M$501,"=425")+SUMIFS('ANALITIKA EU PROJEKATA'!$G$3:$G$501,'ANALITIKA EU PROJEKATA'!$A$3:$A$501,"=51",'ANALITIKA EU PROJEKATA'!$P$3:$P$501,"=425")</f>
        <v>0</v>
      </c>
      <c r="K47" s="138">
        <f>SUMIFS('Plan rashoda za unos u SAP'!$I$3:$I$501,'Plan rashoda za unos u SAP'!$C$3:$C$501,"=52",'Plan rashoda za unos u SAP'!$M$3:$M$501,"=425")+SUMIFS('ANALITIKA EU PROJEKATA'!$G$3:$G$501,'ANALITIKA EU PROJEKATA'!$A$3:$A$501,"=52",'ANALITIKA EU PROJEKATA'!$P$3:$P$501,"=425")</f>
        <v>0</v>
      </c>
      <c r="L47" s="138">
        <f>SUMIFS('Plan rashoda za unos u SAP'!$I$3:$I$501,'Plan rashoda za unos u SAP'!$C$3:$C$501,"=552",'Plan rashoda za unos u SAP'!$M$3:$M$501,"=425")+SUMIFS('ANALITIKA EU PROJEKATA'!$G$3:$G$501,'ANALITIKA EU PROJEKATA'!$A$3:$A$501,"=552",'ANALITIKA EU PROJEKATA'!$P$3:$P$501,"=425")</f>
        <v>0</v>
      </c>
      <c r="M47" s="138">
        <f>SUMIFS('Plan rashoda za unos u SAP'!$I$3:$I$501,'Plan rashoda za unos u SAP'!$C$3:$C$501,"=559",'Plan rashoda za unos u SAP'!$M$3:$M$501,"=425")+SUMIFS('ANALITIKA EU PROJEKATA'!$G$3:$G$501,'ANALITIKA EU PROJEKATA'!$A$3:$A$501,"=559",'ANALITIKA EU PROJEKATA'!$P$3:$P$501,"=425")</f>
        <v>0</v>
      </c>
      <c r="N47" s="138">
        <f>SUMIFS('Plan rashoda za unos u SAP'!$I$3:$I$501,'Plan rashoda za unos u SAP'!$C$3:$C$501,"=561",'Plan rashoda za unos u SAP'!$M$3:$M$501,"=425")+SUMIFS('ANALITIKA EU PROJEKATA'!$G$3:$G$501,'ANALITIKA EU PROJEKATA'!$A$3:$A$501,"=561",'ANALITIKA EU PROJEKATA'!$P$3:$P$501,"=425")</f>
        <v>0</v>
      </c>
      <c r="O47" s="138">
        <f>SUMIFS('Plan rashoda za unos u SAP'!$I$3:$I$501,'Plan rashoda za unos u SAP'!$C$3:$C$501,"=563",'Plan rashoda za unos u SAP'!$M$3:$M$501,"=425")+SUMIFS('ANALITIKA EU PROJEKATA'!$G$3:$G$501,'ANALITIKA EU PROJEKATA'!$A$3:$A$501,"=563",'ANALITIKA EU PROJEKATA'!$P$3:$P$501,"=425")</f>
        <v>0</v>
      </c>
      <c r="P47" s="138">
        <f>SUMIFS('Plan rashoda za unos u SAP'!$I$3:$I$501,'Plan rashoda za unos u SAP'!$C$3:$C$501,"=573",'Plan rashoda za unos u SAP'!$M$3:$M$501,"=425")+SUMIFS('ANALITIKA EU PROJEKATA'!$G$3:$G$501,'ANALITIKA EU PROJEKATA'!$A$3:$A$501,"=573",'ANALITIKA EU PROJEKATA'!$P$3:$P$501,"=425")</f>
        <v>0</v>
      </c>
      <c r="Q47" s="138">
        <f>SUMIFS('Plan rashoda za unos u SAP'!$I$3:$I$501,'Plan rashoda za unos u SAP'!$C$3:$C$501,"=575",'Plan rashoda za unos u SAP'!$M$3:$M$501,"=425")+SUMIFS('ANALITIKA EU PROJEKATA'!$G$3:$G$501,'ANALITIKA EU PROJEKATA'!$A$3:$A$501,"=575",'ANALITIKA EU PROJEKATA'!$P$3:$P$501,"=425")</f>
        <v>0</v>
      </c>
      <c r="R47" s="138">
        <f>SUMIFS('Plan rashoda za unos u SAP'!$I$3:$I$501,'Plan rashoda za unos u SAP'!$C$3:$C$501,"=576",'Plan rashoda za unos u SAP'!$M$3:$M$501,"=425")+SUMIFS('ANALITIKA EU PROJEKATA'!$G$3:$G$501,'ANALITIKA EU PROJEKATA'!$A$3:$A$501,"=576",'ANALITIKA EU PROJEKATA'!$P$3:$P$501,"=425")</f>
        <v>0</v>
      </c>
      <c r="S47" s="138">
        <f>SUMIFS('Plan rashoda za unos u SAP'!$I$3:$I$501,'Plan rashoda za unos u SAP'!$C$3:$C$501,"=581",'Plan rashoda za unos u SAP'!$M$3:$M$501,"=425")+SUMIFS('ANALITIKA EU PROJEKATA'!$G$3:$G$501,'ANALITIKA EU PROJEKATA'!$A$3:$A$501,"=581",'ANALITIKA EU PROJEKATA'!$P$3:$P$501,"=425")</f>
        <v>0</v>
      </c>
      <c r="T47" s="138">
        <f>SUMIFS('Plan rashoda za unos u SAP'!$I$3:$I$501,'Plan rashoda za unos u SAP'!$C$3:$C$501,"=61",'Plan rashoda za unos u SAP'!$M$3:$M$501,"=425")+SUMIFS('ANALITIKA EU PROJEKATA'!$G$3:$G$501,'ANALITIKA EU PROJEKATA'!$A$3:$A$501,"=61",'ANALITIKA EU PROJEKATA'!$P$3:$P$501,"=425")</f>
        <v>0</v>
      </c>
      <c r="U47" s="138">
        <f>SUMIFS('Plan rashoda za unos u SAP'!$I$3:$I$501,'Plan rashoda za unos u SAP'!$C$3:$C$501,"=63",'Plan rashoda za unos u SAP'!$M$3:$M$501,"=425")+SUMIFS('ANALITIKA EU PROJEKATA'!$G$3:$G$501,'ANALITIKA EU PROJEKATA'!$A$3:$A$501,"=63",'ANALITIKA EU PROJEKATA'!$P$3:$P$501,"=425")</f>
        <v>0</v>
      </c>
      <c r="V47" s="138">
        <f>SUMIFS('Plan rashoda za unos u SAP'!$I$3:$I$501,'Plan rashoda za unos u SAP'!$C$3:$C$501,"=71",'Plan rashoda za unos u SAP'!$M$3:$M$501,"=425")+SUMIFS('ANALITIKA EU PROJEKATA'!$G$3:$G$501,'ANALITIKA EU PROJEKATA'!$A$3:$A$501,"=71",'ANALITIKA EU PROJEKATA'!$P$3:$P$501,"=425")</f>
        <v>0</v>
      </c>
      <c r="W47" s="138">
        <f>SUMIFS('Plan rashoda za unos u SAP'!$I$3:$I$501,'Plan rashoda za unos u SAP'!$C$3:$C$501,"=81",'Plan rashoda za unos u SAP'!$M$3:$M$501,"=425")+SUMIFS('ANALITIKA EU PROJEKATA'!$G$3:$G$501,'ANALITIKA EU PROJEKATA'!$A$3:$A$501,"=81",'ANALITIKA EU PROJEKATA'!$P$3:$P$501,"=425")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218</v>
      </c>
      <c r="D48" s="14">
        <f t="shared" si="10"/>
        <v>10000</v>
      </c>
      <c r="E48" s="138">
        <f>SUMIFS('Plan rashoda za unos u SAP'!$I$3:$I$501,'Plan rashoda za unos u SAP'!$C$3:$C$501,"=11",'Plan rashoda za unos u SAP'!$M$3:$M$501,"=426")+SUMIFS('ANALITIKA EU PROJEKATA'!$G$3:$G$501,'ANALITIKA EU PROJEKATA'!$A$3:$A$501,"=11",'ANALITIKA EU PROJEKATA'!$P$3:$P$501,"=426")</f>
        <v>0</v>
      </c>
      <c r="F48" s="138">
        <f>SUMIFS('Plan rashoda za unos u SAP'!$I$3:$I$501,'Plan rashoda za unos u SAP'!$C$3:$C$501,"=12",'Plan rashoda za unos u SAP'!$M$3:$M$501,"=426")+SUMIFS('ANALITIKA EU PROJEKATA'!$G$3:$G$501,'ANALITIKA EU PROJEKATA'!$A$3:$A$501,"=12",'ANALITIKA EU PROJEKATA'!$P$3:$P$501,"=426")</f>
        <v>0</v>
      </c>
      <c r="G48" s="138">
        <f>SUMIFS('Plan rashoda za unos u SAP'!$I$3:$I$501,'Plan rashoda za unos u SAP'!$C$3:$C$501,"=31",'Plan rashoda za unos u SAP'!$M$3:$M$501,"=426")+SUMIFS('ANALITIKA EU PROJEKATA'!$G$3:$G$501,'ANALITIKA EU PROJEKATA'!$A$3:$A$501,"=31",'ANALITIKA EU PROJEKATA'!$P$3:$P$501,"=426")</f>
        <v>0</v>
      </c>
      <c r="H48" s="138">
        <f>SUMIFS('Plan rashoda za unos u SAP'!$I$3:$I$501,'Plan rashoda za unos u SAP'!$C$3:$C$501,"=41",'Plan rashoda za unos u SAP'!$M$3:$M$501,"=426")+SUMIFS('ANALITIKA EU PROJEKATA'!$G$3:$G$501,'ANALITIKA EU PROJEKATA'!$A$3:$A$501,"=41",'ANALITIKA EU PROJEKATA'!$P$3:$P$501,"=426")</f>
        <v>0</v>
      </c>
      <c r="I48" s="138">
        <f>SUMIFS('Plan rashoda za unos u SAP'!$I$3:$I$501,'Plan rashoda za unos u SAP'!$C$3:$C$501,"=43",'Plan rashoda za unos u SAP'!$M$3:$M$501,"=426")+SUMIFS('ANALITIKA EU PROJEKATA'!$G$3:$G$501,'ANALITIKA EU PROJEKATA'!$A$3:$A$501,"=43",'ANALITIKA EU PROJEKATA'!$P$3:$P$501,"=426")</f>
        <v>10000</v>
      </c>
      <c r="J48" s="138">
        <f>SUMIFS('Plan rashoda za unos u SAP'!$I$3:$I$501,'Plan rashoda za unos u SAP'!$C$3:$C$501,"=51",'Plan rashoda za unos u SAP'!$M$3:$M$501,"=426")+SUMIFS('ANALITIKA EU PROJEKATA'!$G$3:$G$501,'ANALITIKA EU PROJEKATA'!$A$3:$A$501,"=51",'ANALITIKA EU PROJEKATA'!$P$3:$P$501,"=426")</f>
        <v>0</v>
      </c>
      <c r="K48" s="138">
        <f>SUMIFS('Plan rashoda za unos u SAP'!$I$3:$I$501,'Plan rashoda za unos u SAP'!$C$3:$C$501,"=52",'Plan rashoda za unos u SAP'!$M$3:$M$501,"=426")+SUMIFS('ANALITIKA EU PROJEKATA'!$G$3:$G$501,'ANALITIKA EU PROJEKATA'!$A$3:$A$501,"=52",'ANALITIKA EU PROJEKATA'!$P$3:$P$501,"=426")</f>
        <v>0</v>
      </c>
      <c r="L48" s="138">
        <f>SUMIFS('Plan rashoda za unos u SAP'!$I$3:$I$501,'Plan rashoda za unos u SAP'!$C$3:$C$501,"=552",'Plan rashoda za unos u SAP'!$M$3:$M$501,"=426")+SUMIFS('ANALITIKA EU PROJEKATA'!$G$3:$G$501,'ANALITIKA EU PROJEKATA'!$A$3:$A$501,"=552",'ANALITIKA EU PROJEKATA'!$P$3:$P$501,"=426")</f>
        <v>0</v>
      </c>
      <c r="M48" s="138">
        <f>SUMIFS('Plan rashoda za unos u SAP'!$I$3:$I$501,'Plan rashoda za unos u SAP'!$C$3:$C$501,"=559",'Plan rashoda za unos u SAP'!$M$3:$M$501,"=426")+SUMIFS('ANALITIKA EU PROJEKATA'!$G$3:$G$501,'ANALITIKA EU PROJEKATA'!$A$3:$A$501,"=559",'ANALITIKA EU PROJEKATA'!$P$3:$P$501,"=426")</f>
        <v>0</v>
      </c>
      <c r="N48" s="138">
        <f>SUMIFS('Plan rashoda za unos u SAP'!$I$3:$I$501,'Plan rashoda za unos u SAP'!$C$3:$C$501,"=561",'Plan rashoda za unos u SAP'!$M$3:$M$501,"=426")+SUMIFS('ANALITIKA EU PROJEKATA'!$G$3:$G$501,'ANALITIKA EU PROJEKATA'!$A$3:$A$501,"=561",'ANALITIKA EU PROJEKATA'!$P$3:$P$501,"=426")</f>
        <v>0</v>
      </c>
      <c r="O48" s="138">
        <f>SUMIFS('Plan rashoda za unos u SAP'!$I$3:$I$501,'Plan rashoda za unos u SAP'!$C$3:$C$501,"=563",'Plan rashoda za unos u SAP'!$M$3:$M$501,"=426")+SUMIFS('ANALITIKA EU PROJEKATA'!$G$3:$G$501,'ANALITIKA EU PROJEKATA'!$A$3:$A$501,"=563",'ANALITIKA EU PROJEKATA'!$P$3:$P$501,"=426")</f>
        <v>0</v>
      </c>
      <c r="P48" s="138">
        <f>SUMIFS('Plan rashoda za unos u SAP'!$I$3:$I$501,'Plan rashoda za unos u SAP'!$C$3:$C$501,"=573",'Plan rashoda za unos u SAP'!$M$3:$M$501,"=426")+SUMIFS('ANALITIKA EU PROJEKATA'!$G$3:$G$501,'ANALITIKA EU PROJEKATA'!$A$3:$A$501,"=573",'ANALITIKA EU PROJEKATA'!$P$3:$P$501,"=426")</f>
        <v>0</v>
      </c>
      <c r="Q48" s="138">
        <f>SUMIFS('Plan rashoda za unos u SAP'!$I$3:$I$501,'Plan rashoda za unos u SAP'!$C$3:$C$501,"=575",'Plan rashoda za unos u SAP'!$M$3:$M$501,"=426")+SUMIFS('ANALITIKA EU PROJEKATA'!$G$3:$G$501,'ANALITIKA EU PROJEKATA'!$A$3:$A$501,"=575",'ANALITIKA EU PROJEKATA'!$P$3:$P$501,"=426")</f>
        <v>0</v>
      </c>
      <c r="R48" s="138">
        <f>SUMIFS('Plan rashoda za unos u SAP'!$I$3:$I$501,'Plan rashoda za unos u SAP'!$C$3:$C$501,"=576",'Plan rashoda za unos u SAP'!$M$3:$M$501,"=426")+SUMIFS('ANALITIKA EU PROJEKATA'!$G$3:$G$501,'ANALITIKA EU PROJEKATA'!$A$3:$A$501,"=576",'ANALITIKA EU PROJEKATA'!$P$3:$P$501,"=426")</f>
        <v>0</v>
      </c>
      <c r="S48" s="138">
        <f>SUMIFS('Plan rashoda za unos u SAP'!$I$3:$I$501,'Plan rashoda za unos u SAP'!$C$3:$C$501,"=581",'Plan rashoda za unos u SAP'!$M$3:$M$501,"=426")+SUMIFS('ANALITIKA EU PROJEKATA'!$G$3:$G$501,'ANALITIKA EU PROJEKATA'!$A$3:$A$501,"=581",'ANALITIKA EU PROJEKATA'!$P$3:$P$501,"=426")</f>
        <v>0</v>
      </c>
      <c r="T48" s="138">
        <f>SUMIFS('Plan rashoda za unos u SAP'!$I$3:$I$501,'Plan rashoda za unos u SAP'!$C$3:$C$501,"=61",'Plan rashoda za unos u SAP'!$M$3:$M$501,"=426")+SUMIFS('ANALITIKA EU PROJEKATA'!$G$3:$G$501,'ANALITIKA EU PROJEKATA'!$A$3:$A$501,"=61",'ANALITIKA EU PROJEKATA'!$P$3:$P$501,"=426")</f>
        <v>0</v>
      </c>
      <c r="U48" s="138">
        <f>SUMIFS('Plan rashoda za unos u SAP'!$I$3:$I$501,'Plan rashoda za unos u SAP'!$C$3:$C$501,"=63",'Plan rashoda za unos u SAP'!$M$3:$M$501,"=426")+SUMIFS('ANALITIKA EU PROJEKATA'!$G$3:$G$501,'ANALITIKA EU PROJEKATA'!$A$3:$A$501,"=63",'ANALITIKA EU PROJEKATA'!$P$3:$P$501,"=426")</f>
        <v>0</v>
      </c>
      <c r="V48" s="138">
        <f>SUMIFS('Plan rashoda za unos u SAP'!$I$3:$I$501,'Plan rashoda za unos u SAP'!$C$3:$C$501,"=71",'Plan rashoda za unos u SAP'!$M$3:$M$501,"=426")+SUMIFS('ANALITIKA EU PROJEKATA'!$G$3:$G$501,'ANALITIKA EU PROJEKATA'!$A$3:$A$501,"=71",'ANALITIKA EU PROJEKATA'!$P$3:$P$501,"=426")</f>
        <v>0</v>
      </c>
      <c r="W48" s="138">
        <f>SUMIFS('Plan rashoda za unos u SAP'!$I$3:$I$501,'Plan rashoda za unos u SAP'!$C$3:$C$501,"=81",'Plan rashoda za unos u SAP'!$M$3:$M$501,"=426")+SUMIFS('ANALITIKA EU PROJEKATA'!$G$3:$G$501,'ANALITIKA EU PROJEKATA'!$A$3:$A$501,"=81",'ANALITIKA EU PROJEKATA'!$P$3:$P$501,"=426")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337</v>
      </c>
      <c r="D49" s="4">
        <f t="shared" si="10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W49" si="14">SUM(I50)</f>
        <v>0</v>
      </c>
      <c r="J49" s="12">
        <f t="shared" si="14"/>
        <v>0</v>
      </c>
      <c r="K49" s="12">
        <f t="shared" si="14"/>
        <v>0</v>
      </c>
      <c r="L49" s="12">
        <f>SUM(L50)</f>
        <v>0</v>
      </c>
      <c r="M49" s="12">
        <f t="shared" si="14"/>
        <v>0</v>
      </c>
      <c r="N49" s="12">
        <f t="shared" si="14"/>
        <v>0</v>
      </c>
      <c r="O49" s="12">
        <f t="shared" si="14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>SUM(S50)</f>
        <v>0</v>
      </c>
      <c r="T49" s="12">
        <f t="shared" si="14"/>
        <v>0</v>
      </c>
      <c r="U49" s="12">
        <f t="shared" si="14"/>
        <v>0</v>
      </c>
      <c r="V49" s="12">
        <f t="shared" si="14"/>
        <v>0</v>
      </c>
      <c r="W49" s="12">
        <f t="shared" si="14"/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338</v>
      </c>
      <c r="D50" s="14">
        <f t="shared" si="10"/>
        <v>0</v>
      </c>
      <c r="E50" s="138">
        <f>SUMIFS('Plan rashoda za unos u SAP'!$I$3:$I$501,'Plan rashoda za unos u SAP'!$C$3:$C$501,"=11",'Plan rashoda za unos u SAP'!$M$3:$M$501,"=431")+SUMIFS('ANALITIKA EU PROJEKATA'!$G$3:$G$501,'ANALITIKA EU PROJEKATA'!$A$3:$A$501,"=11",'ANALITIKA EU PROJEKATA'!$P$3:$P$501,"=431")</f>
        <v>0</v>
      </c>
      <c r="F50" s="138">
        <f>SUMIFS('Plan rashoda za unos u SAP'!$I$3:$I$501,'Plan rashoda za unos u SAP'!$C$3:$C$501,"=12",'Plan rashoda za unos u SAP'!$M$3:$M$501,"=431")+SUMIFS('ANALITIKA EU PROJEKATA'!$G$3:$G$501,'ANALITIKA EU PROJEKATA'!$A$3:$A$501,"=12",'ANALITIKA EU PROJEKATA'!$P$3:$P$501,"=431")</f>
        <v>0</v>
      </c>
      <c r="G50" s="138">
        <f>SUMIFS('Plan rashoda za unos u SAP'!$I$3:$I$501,'Plan rashoda za unos u SAP'!$C$3:$C$501,"=31",'Plan rashoda za unos u SAP'!$M$3:$M$501,"=431")+SUMIFS('ANALITIKA EU PROJEKATA'!$G$3:$G$501,'ANALITIKA EU PROJEKATA'!$A$3:$A$501,"=31",'ANALITIKA EU PROJEKATA'!$P$3:$P$501,"=431")</f>
        <v>0</v>
      </c>
      <c r="H50" s="138">
        <f>SUMIFS('Plan rashoda za unos u SAP'!$I$3:$I$501,'Plan rashoda za unos u SAP'!$C$3:$C$501,"=41",'Plan rashoda za unos u SAP'!$M$3:$M$501,"=431")+SUMIFS('ANALITIKA EU PROJEKATA'!$G$3:$G$501,'ANALITIKA EU PROJEKATA'!$A$3:$A$501,"=41",'ANALITIKA EU PROJEKATA'!$P$3:$P$501,"=431")</f>
        <v>0</v>
      </c>
      <c r="I50" s="138">
        <f>SUMIFS('Plan rashoda za unos u SAP'!$I$3:$I$501,'Plan rashoda za unos u SAP'!$C$3:$C$501,"=43",'Plan rashoda za unos u SAP'!$M$3:$M$501,"=431")+SUMIFS('ANALITIKA EU PROJEKATA'!$G$3:$G$501,'ANALITIKA EU PROJEKATA'!$A$3:$A$501,"=43",'ANALITIKA EU PROJEKATA'!$P$3:$P$501,"=431")</f>
        <v>0</v>
      </c>
      <c r="J50" s="138">
        <f>SUMIFS('Plan rashoda za unos u SAP'!$I$3:$I$501,'Plan rashoda za unos u SAP'!$C$3:$C$501,"=51",'Plan rashoda za unos u SAP'!$M$3:$M$501,"=431")+SUMIFS('ANALITIKA EU PROJEKATA'!$G$3:$G$501,'ANALITIKA EU PROJEKATA'!$A$3:$A$501,"=51",'ANALITIKA EU PROJEKATA'!$P$3:$P$501,"=431")</f>
        <v>0</v>
      </c>
      <c r="K50" s="138">
        <f>SUMIFS('Plan rashoda za unos u SAP'!$I$3:$I$501,'Plan rashoda za unos u SAP'!$C$3:$C$501,"=52",'Plan rashoda za unos u SAP'!$M$3:$M$501,"=431")+SUMIFS('ANALITIKA EU PROJEKATA'!$G$3:$G$501,'ANALITIKA EU PROJEKATA'!$A$3:$A$501,"=52",'ANALITIKA EU PROJEKATA'!$P$3:$P$501,"=431")</f>
        <v>0</v>
      </c>
      <c r="L50" s="138">
        <f>SUMIFS('Plan rashoda za unos u SAP'!$I$3:$I$501,'Plan rashoda za unos u SAP'!$C$3:$C$501,"=552",'Plan rashoda za unos u SAP'!$M$3:$M$501,"=431")+SUMIFS('ANALITIKA EU PROJEKATA'!$G$3:$G$501,'ANALITIKA EU PROJEKATA'!$A$3:$A$501,"=552",'ANALITIKA EU PROJEKATA'!$P$3:$P$501,"=431")</f>
        <v>0</v>
      </c>
      <c r="M50" s="138">
        <f>SUMIFS('Plan rashoda za unos u SAP'!$I$3:$I$501,'Plan rashoda za unos u SAP'!$C$3:$C$501,"=559",'Plan rashoda za unos u SAP'!$M$3:$M$501,"=431")+SUMIFS('ANALITIKA EU PROJEKATA'!$G$3:$G$501,'ANALITIKA EU PROJEKATA'!$A$3:$A$501,"=559",'ANALITIKA EU PROJEKATA'!$P$3:$P$501,"=431")</f>
        <v>0</v>
      </c>
      <c r="N50" s="138">
        <f>SUMIFS('Plan rashoda za unos u SAP'!$I$3:$I$501,'Plan rashoda za unos u SAP'!$C$3:$C$501,"=561",'Plan rashoda za unos u SAP'!$M$3:$M$501,"=431")+SUMIFS('ANALITIKA EU PROJEKATA'!$G$3:$G$501,'ANALITIKA EU PROJEKATA'!$A$3:$A$501,"=561",'ANALITIKA EU PROJEKATA'!$P$3:$P$501,"=431")</f>
        <v>0</v>
      </c>
      <c r="O50" s="138">
        <f>SUMIFS('Plan rashoda za unos u SAP'!$I$3:$I$501,'Plan rashoda za unos u SAP'!$C$3:$C$501,"=563",'Plan rashoda za unos u SAP'!$M$3:$M$501,"=431")+SUMIFS('ANALITIKA EU PROJEKATA'!$G$3:$G$501,'ANALITIKA EU PROJEKATA'!$A$3:$A$501,"=563",'ANALITIKA EU PROJEKATA'!$P$3:$P$501,"=431")</f>
        <v>0</v>
      </c>
      <c r="P50" s="138">
        <f>SUMIFS('Plan rashoda za unos u SAP'!$I$3:$I$501,'Plan rashoda za unos u SAP'!$C$3:$C$501,"=573",'Plan rashoda za unos u SAP'!$M$3:$M$501,"=431")+SUMIFS('ANALITIKA EU PROJEKATA'!$G$3:$G$501,'ANALITIKA EU PROJEKATA'!$A$3:$A$501,"=573",'ANALITIKA EU PROJEKATA'!$P$3:$P$501,"=431")</f>
        <v>0</v>
      </c>
      <c r="Q50" s="138">
        <f>SUMIFS('Plan rashoda za unos u SAP'!$I$3:$I$501,'Plan rashoda za unos u SAP'!$C$3:$C$501,"=575",'Plan rashoda za unos u SAP'!$M$3:$M$501,"=431")+SUMIFS('ANALITIKA EU PROJEKATA'!$G$3:$G$501,'ANALITIKA EU PROJEKATA'!$A$3:$A$501,"=575",'ANALITIKA EU PROJEKATA'!$P$3:$P$501,"=431")</f>
        <v>0</v>
      </c>
      <c r="R50" s="138">
        <f>SUMIFS('Plan rashoda za unos u SAP'!$I$3:$I$501,'Plan rashoda za unos u SAP'!$C$3:$C$501,"=576",'Plan rashoda za unos u SAP'!$M$3:$M$501,"=431")+SUMIFS('ANALITIKA EU PROJEKATA'!$G$3:$G$501,'ANALITIKA EU PROJEKATA'!$A$3:$A$501,"=576",'ANALITIKA EU PROJEKATA'!$P$3:$P$501,"=431")</f>
        <v>0</v>
      </c>
      <c r="S50" s="138">
        <f>SUMIFS('Plan rashoda za unos u SAP'!$I$3:$I$501,'Plan rashoda za unos u SAP'!$C$3:$C$501,"=581",'Plan rashoda za unos u SAP'!$M$3:$M$501,"=431")+SUMIFS('ANALITIKA EU PROJEKATA'!$G$3:$G$501,'ANALITIKA EU PROJEKATA'!$A$3:$A$501,"=581",'ANALITIKA EU PROJEKATA'!$P$3:$P$501,"=431")</f>
        <v>0</v>
      </c>
      <c r="T50" s="138">
        <f>SUMIFS('Plan rashoda za unos u SAP'!$I$3:$I$501,'Plan rashoda za unos u SAP'!$C$3:$C$501,"=61",'Plan rashoda za unos u SAP'!$M$3:$M$501,"=431")+SUMIFS('ANALITIKA EU PROJEKATA'!$G$3:$G$501,'ANALITIKA EU PROJEKATA'!$A$3:$A$501,"=61",'ANALITIKA EU PROJEKATA'!$P$3:$P$501,"=431")</f>
        <v>0</v>
      </c>
      <c r="U50" s="138">
        <f>SUMIFS('Plan rashoda za unos u SAP'!$I$3:$I$501,'Plan rashoda za unos u SAP'!$C$3:$C$501,"=63",'Plan rashoda za unos u SAP'!$M$3:$M$501,"=431")+SUMIFS('ANALITIKA EU PROJEKATA'!$G$3:$G$501,'ANALITIKA EU PROJEKATA'!$A$3:$A$501,"=63",'ANALITIKA EU PROJEKATA'!$P$3:$P$501,"=431")</f>
        <v>0</v>
      </c>
      <c r="V50" s="138">
        <f>SUMIFS('Plan rashoda za unos u SAP'!$I$3:$I$501,'Plan rashoda za unos u SAP'!$C$3:$C$501,"=71",'Plan rashoda za unos u SAP'!$M$3:$M$501,"=431")+SUMIFS('ANALITIKA EU PROJEKATA'!$G$3:$G$501,'ANALITIKA EU PROJEKATA'!$A$3:$A$501,"=71",'ANALITIKA EU PROJEKATA'!$P$3:$P$501,"=431")</f>
        <v>0</v>
      </c>
      <c r="W50" s="138">
        <f>SUMIFS('Plan rashoda za unos u SAP'!$I$3:$I$501,'Plan rashoda za unos u SAP'!$C$3:$C$501,"=81",'Plan rashoda za unos u SAP'!$M$3:$M$501,"=431")+SUMIFS('ANALITIKA EU PROJEKATA'!$G$3:$G$501,'ANALITIKA EU PROJEKATA'!$A$3:$A$501,"=81",'ANALITIKA EU PROJEKATA'!$P$3:$P$501,"=431")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338</v>
      </c>
      <c r="D51" s="4">
        <f t="shared" si="10"/>
        <v>0</v>
      </c>
      <c r="E51" s="12">
        <f t="shared" ref="E51:W51" si="15">SUM(E52)</f>
        <v>0</v>
      </c>
      <c r="F51" s="12">
        <f t="shared" si="15"/>
        <v>0</v>
      </c>
      <c r="G51" s="12">
        <f t="shared" si="15"/>
        <v>0</v>
      </c>
      <c r="H51" s="12">
        <f t="shared" si="15"/>
        <v>0</v>
      </c>
      <c r="I51" s="12">
        <f t="shared" si="15"/>
        <v>0</v>
      </c>
      <c r="J51" s="12">
        <f t="shared" si="15"/>
        <v>0</v>
      </c>
      <c r="K51" s="12">
        <f t="shared" si="15"/>
        <v>0</v>
      </c>
      <c r="L51" s="12">
        <f t="shared" si="15"/>
        <v>0</v>
      </c>
      <c r="M51" s="12">
        <f t="shared" si="15"/>
        <v>0</v>
      </c>
      <c r="N51" s="12">
        <f t="shared" si="15"/>
        <v>0</v>
      </c>
      <c r="O51" s="12">
        <f t="shared" si="15"/>
        <v>0</v>
      </c>
      <c r="P51" s="12">
        <f t="shared" si="15"/>
        <v>0</v>
      </c>
      <c r="Q51" s="12">
        <f t="shared" si="15"/>
        <v>0</v>
      </c>
      <c r="R51" s="12">
        <f t="shared" si="15"/>
        <v>0</v>
      </c>
      <c r="S51" s="12">
        <f>SUM(S52)</f>
        <v>0</v>
      </c>
      <c r="T51" s="12">
        <f t="shared" si="15"/>
        <v>0</v>
      </c>
      <c r="U51" s="12">
        <f t="shared" si="15"/>
        <v>0</v>
      </c>
      <c r="V51" s="12">
        <f t="shared" si="15"/>
        <v>0</v>
      </c>
      <c r="W51" s="12">
        <f t="shared" si="15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339</v>
      </c>
      <c r="D52" s="14">
        <f t="shared" si="10"/>
        <v>0</v>
      </c>
      <c r="E52" s="138">
        <f>SUMIFS('Plan rashoda za unos u SAP'!$I$3:$I$501,'Plan rashoda za unos u SAP'!$C$3:$C$501,"=11",'Plan rashoda za unos u SAP'!$M$3:$M$501,"=441")+SUMIFS('ANALITIKA EU PROJEKATA'!$G$3:$G$501,'ANALITIKA EU PROJEKATA'!$A$3:$A$501,"=11",'ANALITIKA EU PROJEKATA'!$P$3:$P$501,"=441")</f>
        <v>0</v>
      </c>
      <c r="F52" s="138">
        <f>SUMIFS('Plan rashoda za unos u SAP'!$I$3:$I$501,'Plan rashoda za unos u SAP'!$C$3:$C$501,"=12",'Plan rashoda za unos u SAP'!$M$3:$M$501,"=441")+SUMIFS('ANALITIKA EU PROJEKATA'!$G$3:$G$501,'ANALITIKA EU PROJEKATA'!$A$3:$A$501,"=12",'ANALITIKA EU PROJEKATA'!$P$3:$P$501,"=441")</f>
        <v>0</v>
      </c>
      <c r="G52" s="138">
        <f>SUMIFS('Plan rashoda za unos u SAP'!$I$3:$I$501,'Plan rashoda za unos u SAP'!$C$3:$C$501,"=31",'Plan rashoda za unos u SAP'!$M$3:$M$501,"=441")+SUMIFS('ANALITIKA EU PROJEKATA'!$G$3:$G$501,'ANALITIKA EU PROJEKATA'!$A$3:$A$501,"=31",'ANALITIKA EU PROJEKATA'!$P$3:$P$501,"=441")</f>
        <v>0</v>
      </c>
      <c r="H52" s="138">
        <f>SUMIFS('Plan rashoda za unos u SAP'!$I$3:$I$501,'Plan rashoda za unos u SAP'!$C$3:$C$501,"=41",'Plan rashoda za unos u SAP'!$M$3:$M$501,"=441")+SUMIFS('ANALITIKA EU PROJEKATA'!$G$3:$G$501,'ANALITIKA EU PROJEKATA'!$A$3:$A$501,"=41",'ANALITIKA EU PROJEKATA'!$P$3:$P$501,"=441")</f>
        <v>0</v>
      </c>
      <c r="I52" s="138">
        <f>SUMIFS('Plan rashoda za unos u SAP'!$I$3:$I$501,'Plan rashoda za unos u SAP'!$C$3:$C$501,"=43",'Plan rashoda za unos u SAP'!$M$3:$M$501,"=441")+SUMIFS('ANALITIKA EU PROJEKATA'!$G$3:$G$501,'ANALITIKA EU PROJEKATA'!$A$3:$A$501,"=43",'ANALITIKA EU PROJEKATA'!$P$3:$P$501,"=441")</f>
        <v>0</v>
      </c>
      <c r="J52" s="138">
        <f>SUMIFS('Plan rashoda za unos u SAP'!$I$3:$I$501,'Plan rashoda za unos u SAP'!$C$3:$C$501,"=51",'Plan rashoda za unos u SAP'!$M$3:$M$501,"=441")+SUMIFS('ANALITIKA EU PROJEKATA'!$G$3:$G$501,'ANALITIKA EU PROJEKATA'!$A$3:$A$501,"=51",'ANALITIKA EU PROJEKATA'!$P$3:$P$501,"=441")</f>
        <v>0</v>
      </c>
      <c r="K52" s="138">
        <f>SUMIFS('Plan rashoda za unos u SAP'!$I$3:$I$501,'Plan rashoda za unos u SAP'!$C$3:$C$501,"=52",'Plan rashoda za unos u SAP'!$M$3:$M$501,"=441")+SUMIFS('ANALITIKA EU PROJEKATA'!$G$3:$G$501,'ANALITIKA EU PROJEKATA'!$A$3:$A$501,"=52",'ANALITIKA EU PROJEKATA'!$P$3:$P$501,"=441")</f>
        <v>0</v>
      </c>
      <c r="L52" s="138">
        <f>SUMIFS('Plan rashoda za unos u SAP'!$I$3:$I$501,'Plan rashoda za unos u SAP'!$C$3:$C$501,"=552",'Plan rashoda za unos u SAP'!$M$3:$M$501,"=441")+SUMIFS('ANALITIKA EU PROJEKATA'!$G$3:$G$501,'ANALITIKA EU PROJEKATA'!$A$3:$A$501,"=552",'ANALITIKA EU PROJEKATA'!$P$3:$P$501,"=441")</f>
        <v>0</v>
      </c>
      <c r="M52" s="138">
        <f>SUMIFS('Plan rashoda za unos u SAP'!$I$3:$I$501,'Plan rashoda za unos u SAP'!$C$3:$C$501,"=559",'Plan rashoda za unos u SAP'!$M$3:$M$501,"=441")+SUMIFS('ANALITIKA EU PROJEKATA'!$G$3:$G$501,'ANALITIKA EU PROJEKATA'!$A$3:$A$501,"=559",'ANALITIKA EU PROJEKATA'!$P$3:$P$501,"=441")</f>
        <v>0</v>
      </c>
      <c r="N52" s="138">
        <f>SUMIFS('Plan rashoda za unos u SAP'!$I$3:$I$501,'Plan rashoda za unos u SAP'!$C$3:$C$501,"=561",'Plan rashoda za unos u SAP'!$M$3:$M$501,"=441")+SUMIFS('ANALITIKA EU PROJEKATA'!$G$3:$G$501,'ANALITIKA EU PROJEKATA'!$A$3:$A$501,"=561",'ANALITIKA EU PROJEKATA'!$P$3:$P$501,"=441")</f>
        <v>0</v>
      </c>
      <c r="O52" s="138">
        <f>SUMIFS('Plan rashoda za unos u SAP'!$I$3:$I$501,'Plan rashoda za unos u SAP'!$C$3:$C$501,"=563",'Plan rashoda za unos u SAP'!$M$3:$M$501,"=441")+SUMIFS('ANALITIKA EU PROJEKATA'!$G$3:$G$501,'ANALITIKA EU PROJEKATA'!$A$3:$A$501,"=563",'ANALITIKA EU PROJEKATA'!$P$3:$P$501,"=441")</f>
        <v>0</v>
      </c>
      <c r="P52" s="138">
        <f>SUMIFS('Plan rashoda za unos u SAP'!$I$3:$I$501,'Plan rashoda za unos u SAP'!$C$3:$C$501,"=573",'Plan rashoda za unos u SAP'!$M$3:$M$501,"=441")+SUMIFS('ANALITIKA EU PROJEKATA'!$G$3:$G$501,'ANALITIKA EU PROJEKATA'!$A$3:$A$501,"=573",'ANALITIKA EU PROJEKATA'!$P$3:$P$501,"=441")</f>
        <v>0</v>
      </c>
      <c r="Q52" s="138">
        <f>SUMIFS('Plan rashoda za unos u SAP'!$I$3:$I$501,'Plan rashoda za unos u SAP'!$C$3:$C$501,"=575",'Plan rashoda za unos u SAP'!$M$3:$M$501,"=441")+SUMIFS('ANALITIKA EU PROJEKATA'!$G$3:$G$501,'ANALITIKA EU PROJEKATA'!$A$3:$A$501,"=575",'ANALITIKA EU PROJEKATA'!$P$3:$P$501,"=441")</f>
        <v>0</v>
      </c>
      <c r="R52" s="138">
        <f>SUMIFS('Plan rashoda za unos u SAP'!$I$3:$I$501,'Plan rashoda za unos u SAP'!$C$3:$C$501,"=576",'Plan rashoda za unos u SAP'!$M$3:$M$501,"=441")+SUMIFS('ANALITIKA EU PROJEKATA'!$G$3:$G$501,'ANALITIKA EU PROJEKATA'!$A$3:$A$501,"=576",'ANALITIKA EU PROJEKATA'!$P$3:$P$501,"=441")</f>
        <v>0</v>
      </c>
      <c r="S52" s="138">
        <f>SUMIFS('Plan rashoda za unos u SAP'!$I$3:$I$501,'Plan rashoda za unos u SAP'!$C$3:$C$501,"=581",'Plan rashoda za unos u SAP'!$M$3:$M$501,"=441")+SUMIFS('ANALITIKA EU PROJEKATA'!$G$3:$G$501,'ANALITIKA EU PROJEKATA'!$A$3:$A$501,"=581",'ANALITIKA EU PROJEKATA'!$P$3:$P$501,"=441")</f>
        <v>0</v>
      </c>
      <c r="T52" s="138">
        <f>SUMIFS('Plan rashoda za unos u SAP'!$I$3:$I$501,'Plan rashoda za unos u SAP'!$C$3:$C$501,"=61",'Plan rashoda za unos u SAP'!$M$3:$M$501,"=441")+SUMIFS('ANALITIKA EU PROJEKATA'!$G$3:$G$501,'ANALITIKA EU PROJEKATA'!$A$3:$A$501,"=61",'ANALITIKA EU PROJEKATA'!$P$3:$P$501,"=441")</f>
        <v>0</v>
      </c>
      <c r="U52" s="138">
        <f>SUMIFS('Plan rashoda za unos u SAP'!$I$3:$I$501,'Plan rashoda za unos u SAP'!$C$3:$C$501,"=63",'Plan rashoda za unos u SAP'!$M$3:$M$501,"=441")+SUMIFS('ANALITIKA EU PROJEKATA'!$G$3:$G$501,'ANALITIKA EU PROJEKATA'!$A$3:$A$501,"=63",'ANALITIKA EU PROJEKATA'!$P$3:$P$501,"=441")</f>
        <v>0</v>
      </c>
      <c r="V52" s="138">
        <f>SUMIFS('Plan rashoda za unos u SAP'!$I$3:$I$501,'Plan rashoda za unos u SAP'!$C$3:$C$501,"=71",'Plan rashoda za unos u SAP'!$M$3:$M$501,"=441")+SUMIFS('ANALITIKA EU PROJEKATA'!$G$3:$G$501,'ANALITIKA EU PROJEKATA'!$A$3:$A$501,"=71",'ANALITIKA EU PROJEKATA'!$P$3:$P$501,"=441")</f>
        <v>0</v>
      </c>
      <c r="W52" s="138">
        <f>SUMIFS('Plan rashoda za unos u SAP'!$I$3:$I$501,'Plan rashoda za unos u SAP'!$C$3:$C$501,"=81",'Plan rashoda za unos u SAP'!$M$3:$M$501,"=441")+SUMIFS('ANALITIKA EU PROJEKATA'!$G$3:$G$501,'ANALITIKA EU PROJEKATA'!$A$3:$A$501,"=81",'ANALITIKA EU PROJEKATA'!$P$3:$P$501,"=441")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219</v>
      </c>
      <c r="D53" s="4">
        <f t="shared" si="10"/>
        <v>550000</v>
      </c>
      <c r="E53" s="4">
        <f t="shared" ref="E53:W53" si="16">SUM(E54:E57)</f>
        <v>0</v>
      </c>
      <c r="F53" s="4">
        <f t="shared" si="16"/>
        <v>0</v>
      </c>
      <c r="G53" s="4">
        <f t="shared" si="16"/>
        <v>0</v>
      </c>
      <c r="H53" s="4">
        <f>SUM(H54:H57)</f>
        <v>0</v>
      </c>
      <c r="I53" s="4">
        <f t="shared" si="16"/>
        <v>486911</v>
      </c>
      <c r="J53" s="4">
        <f t="shared" si="16"/>
        <v>0</v>
      </c>
      <c r="K53" s="4">
        <f t="shared" si="16"/>
        <v>63089</v>
      </c>
      <c r="L53" s="4">
        <f>SUM(L54:L57)</f>
        <v>0</v>
      </c>
      <c r="M53" s="4">
        <f t="shared" si="16"/>
        <v>0</v>
      </c>
      <c r="N53" s="4">
        <f t="shared" si="16"/>
        <v>0</v>
      </c>
      <c r="O53" s="4">
        <f t="shared" si="16"/>
        <v>0</v>
      </c>
      <c r="P53" s="4">
        <f>SUM(P54:P57)</f>
        <v>0</v>
      </c>
      <c r="Q53" s="4">
        <f>SUM(Q54:Q57)</f>
        <v>0</v>
      </c>
      <c r="R53" s="4">
        <f>SUM(R54:R57)</f>
        <v>0</v>
      </c>
      <c r="S53" s="4">
        <f>SUM(S54:S57)</f>
        <v>0</v>
      </c>
      <c r="T53" s="4">
        <f t="shared" si="16"/>
        <v>0</v>
      </c>
      <c r="U53" s="4">
        <f t="shared" si="16"/>
        <v>0</v>
      </c>
      <c r="V53" s="4">
        <f t="shared" si="16"/>
        <v>0</v>
      </c>
      <c r="W53" s="4">
        <f t="shared" si="16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125</v>
      </c>
      <c r="D54" s="14">
        <f t="shared" si="10"/>
        <v>550000</v>
      </c>
      <c r="E54" s="138">
        <f>SUMIFS('Plan rashoda za unos u SAP'!$I$3:$I$501,'Plan rashoda za unos u SAP'!$C$3:$C$501,"=11",'Plan rashoda za unos u SAP'!$M$3:$M$501,"=451")+SUMIFS('ANALITIKA EU PROJEKATA'!$G$3:$G$501,'ANALITIKA EU PROJEKATA'!$A$3:$A$501,"=11",'ANALITIKA EU PROJEKATA'!$P$3:$P$501,"=451")</f>
        <v>0</v>
      </c>
      <c r="F54" s="138">
        <f>SUMIFS('Plan rashoda za unos u SAP'!$I$3:$I$501,'Plan rashoda za unos u SAP'!$C$3:$C$501,"=12",'Plan rashoda za unos u SAP'!$M$3:$M$501,"=451")+SUMIFS('ANALITIKA EU PROJEKATA'!$G$3:$G$501,'ANALITIKA EU PROJEKATA'!$A$3:$A$501,"=12",'ANALITIKA EU PROJEKATA'!$P$3:$P$501,"=451")</f>
        <v>0</v>
      </c>
      <c r="G54" s="138">
        <f>SUMIFS('Plan rashoda za unos u SAP'!$I$3:$I$501,'Plan rashoda za unos u SAP'!$C$3:$C$501,"=31",'Plan rashoda za unos u SAP'!$M$3:$M$501,"=451")+SUMIFS('ANALITIKA EU PROJEKATA'!$G$3:$G$501,'ANALITIKA EU PROJEKATA'!$A$3:$A$501,"=31",'ANALITIKA EU PROJEKATA'!$P$3:$P$501,"=451")</f>
        <v>0</v>
      </c>
      <c r="H54" s="138">
        <f>SUMIFS('Plan rashoda za unos u SAP'!$I$3:$I$501,'Plan rashoda za unos u SAP'!$C$3:$C$501,"=41",'Plan rashoda za unos u SAP'!$M$3:$M$501,"=451")+SUMIFS('ANALITIKA EU PROJEKATA'!$G$3:$G$501,'ANALITIKA EU PROJEKATA'!$A$3:$A$501,"=41",'ANALITIKA EU PROJEKATA'!$P$3:$P$501,"=451")</f>
        <v>0</v>
      </c>
      <c r="I54" s="138">
        <f>SUMIFS('Plan rashoda za unos u SAP'!$I$3:$I$501,'Plan rashoda za unos u SAP'!$C$3:$C$501,"=43",'Plan rashoda za unos u SAP'!$M$3:$M$501,"=451")+SUMIFS('ANALITIKA EU PROJEKATA'!$G$3:$G$501,'ANALITIKA EU PROJEKATA'!$A$3:$A$501,"=43",'ANALITIKA EU PROJEKATA'!$P$3:$P$501,"=451")</f>
        <v>486911</v>
      </c>
      <c r="J54" s="138">
        <f>SUMIFS('Plan rashoda za unos u SAP'!$I$3:$I$501,'Plan rashoda za unos u SAP'!$C$3:$C$501,"=51",'Plan rashoda za unos u SAP'!$M$3:$M$501,"=451")+SUMIFS('ANALITIKA EU PROJEKATA'!$G$3:$G$501,'ANALITIKA EU PROJEKATA'!$A$3:$A$501,"=51",'ANALITIKA EU PROJEKATA'!$P$3:$P$501,"=451")</f>
        <v>0</v>
      </c>
      <c r="K54" s="138">
        <f>SUMIFS('Plan rashoda za unos u SAP'!$I$3:$I$501,'Plan rashoda za unos u SAP'!$C$3:$C$501,"=52",'Plan rashoda za unos u SAP'!$M$3:$M$501,"=451")+SUMIFS('ANALITIKA EU PROJEKATA'!$G$3:$G$501,'ANALITIKA EU PROJEKATA'!$A$3:$A$501,"=52",'ANALITIKA EU PROJEKATA'!$P$3:$P$501,"=451")</f>
        <v>63089</v>
      </c>
      <c r="L54" s="138">
        <f>SUMIFS('Plan rashoda za unos u SAP'!$I$3:$I$501,'Plan rashoda za unos u SAP'!$C$3:$C$501,"=552",'Plan rashoda za unos u SAP'!$M$3:$M$501,"=451")+SUMIFS('ANALITIKA EU PROJEKATA'!$G$3:$G$501,'ANALITIKA EU PROJEKATA'!$A$3:$A$501,"=552",'ANALITIKA EU PROJEKATA'!$P$3:$P$501,"=451")</f>
        <v>0</v>
      </c>
      <c r="M54" s="138">
        <f>SUMIFS('Plan rashoda za unos u SAP'!$I$3:$I$501,'Plan rashoda za unos u SAP'!$C$3:$C$501,"=559",'Plan rashoda za unos u SAP'!$M$3:$M$501,"=451")+SUMIFS('ANALITIKA EU PROJEKATA'!$G$3:$G$501,'ANALITIKA EU PROJEKATA'!$A$3:$A$501,"=559",'ANALITIKA EU PROJEKATA'!$P$3:$P$501,"=451")</f>
        <v>0</v>
      </c>
      <c r="N54" s="138">
        <f>SUMIFS('Plan rashoda za unos u SAP'!$I$3:$I$501,'Plan rashoda za unos u SAP'!$C$3:$C$501,"=561",'Plan rashoda za unos u SAP'!$M$3:$M$501,"=451")+SUMIFS('ANALITIKA EU PROJEKATA'!$G$3:$G$501,'ANALITIKA EU PROJEKATA'!$A$3:$A$501,"=561",'ANALITIKA EU PROJEKATA'!$P$3:$P$501,"=451")</f>
        <v>0</v>
      </c>
      <c r="O54" s="138">
        <f>SUMIFS('Plan rashoda za unos u SAP'!$I$3:$I$501,'Plan rashoda za unos u SAP'!$C$3:$C$501,"=563",'Plan rashoda za unos u SAP'!$M$3:$M$501,"=451")+SUMIFS('ANALITIKA EU PROJEKATA'!$G$3:$G$501,'ANALITIKA EU PROJEKATA'!$A$3:$A$501,"=563",'ANALITIKA EU PROJEKATA'!$P$3:$P$501,"=451")</f>
        <v>0</v>
      </c>
      <c r="P54" s="138">
        <f>SUMIFS('Plan rashoda za unos u SAP'!$I$3:$I$501,'Plan rashoda za unos u SAP'!$C$3:$C$501,"=573",'Plan rashoda za unos u SAP'!$M$3:$M$501,"=451")+SUMIFS('ANALITIKA EU PROJEKATA'!$G$3:$G$501,'ANALITIKA EU PROJEKATA'!$A$3:$A$501,"=573",'ANALITIKA EU PROJEKATA'!$P$3:$P$501,"=451")</f>
        <v>0</v>
      </c>
      <c r="Q54" s="138">
        <f>SUMIFS('Plan rashoda za unos u SAP'!$I$3:$I$501,'Plan rashoda za unos u SAP'!$C$3:$C$501,"=575",'Plan rashoda za unos u SAP'!$M$3:$M$501,"=451")+SUMIFS('ANALITIKA EU PROJEKATA'!$G$3:$G$501,'ANALITIKA EU PROJEKATA'!$A$3:$A$501,"=575",'ANALITIKA EU PROJEKATA'!$P$3:$P$501,"=451")</f>
        <v>0</v>
      </c>
      <c r="R54" s="138">
        <f>SUMIFS('Plan rashoda za unos u SAP'!$I$3:$I$501,'Plan rashoda za unos u SAP'!$C$3:$C$501,"=576",'Plan rashoda za unos u SAP'!$M$3:$M$501,"=451")+SUMIFS('ANALITIKA EU PROJEKATA'!$G$3:$G$501,'ANALITIKA EU PROJEKATA'!$A$3:$A$501,"=576",'ANALITIKA EU PROJEKATA'!$P$3:$P$501,"=451")</f>
        <v>0</v>
      </c>
      <c r="S54" s="138">
        <f>SUMIFS('Plan rashoda za unos u SAP'!$I$3:$I$501,'Plan rashoda za unos u SAP'!$C$3:$C$501,"=581",'Plan rashoda za unos u SAP'!$M$3:$M$501,"=451")+SUMIFS('ANALITIKA EU PROJEKATA'!$G$3:$G$501,'ANALITIKA EU PROJEKATA'!$A$3:$A$501,"=581",'ANALITIKA EU PROJEKATA'!$P$3:$P$501,"=451")</f>
        <v>0</v>
      </c>
      <c r="T54" s="138">
        <f>SUMIFS('Plan rashoda za unos u SAP'!$I$3:$I$501,'Plan rashoda za unos u SAP'!$C$3:$C$501,"=61",'Plan rashoda za unos u SAP'!$M$3:$M$501,"=451")+SUMIFS('ANALITIKA EU PROJEKATA'!$G$3:$G$501,'ANALITIKA EU PROJEKATA'!$A$3:$A$501,"=61",'ANALITIKA EU PROJEKATA'!$P$3:$P$501,"=451")</f>
        <v>0</v>
      </c>
      <c r="U54" s="138">
        <f>SUMIFS('Plan rashoda za unos u SAP'!$I$3:$I$501,'Plan rashoda za unos u SAP'!$C$3:$C$501,"=63",'Plan rashoda za unos u SAP'!$M$3:$M$501,"=451")+SUMIFS('ANALITIKA EU PROJEKATA'!$G$3:$G$501,'ANALITIKA EU PROJEKATA'!$A$3:$A$501,"=63",'ANALITIKA EU PROJEKATA'!$P$3:$P$501,"=451")</f>
        <v>0</v>
      </c>
      <c r="V54" s="138">
        <f>SUMIFS('Plan rashoda za unos u SAP'!$I$3:$I$501,'Plan rashoda za unos u SAP'!$C$3:$C$501,"=71",'Plan rashoda za unos u SAP'!$M$3:$M$501,"=451")+SUMIFS('ANALITIKA EU PROJEKATA'!$G$3:$G$501,'ANALITIKA EU PROJEKATA'!$A$3:$A$501,"=71",'ANALITIKA EU PROJEKATA'!$P$3:$P$501,"=451")</f>
        <v>0</v>
      </c>
      <c r="W54" s="138">
        <f>SUMIFS('Plan rashoda za unos u SAP'!$I$3:$I$501,'Plan rashoda za unos u SAP'!$C$3:$C$501,"=81",'Plan rashoda za unos u SAP'!$M$3:$M$501,"=451")+SUMIFS('ANALITIKA EU PROJEKATA'!$G$3:$G$501,'ANALITIKA EU PROJEKATA'!$A$3:$A$501,"=81",'ANALITIKA EU PROJEKATA'!$P$3:$P$501,"=451")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144</v>
      </c>
      <c r="D55" s="14">
        <f t="shared" si="10"/>
        <v>0</v>
      </c>
      <c r="E55" s="138">
        <f>SUMIFS('Plan rashoda za unos u SAP'!$I$3:$I$501,'Plan rashoda za unos u SAP'!$C$3:$C$501,"=11",'Plan rashoda za unos u SAP'!$M$3:$M$501,"=452")+SUMIFS('ANALITIKA EU PROJEKATA'!$G$3:$G$501,'ANALITIKA EU PROJEKATA'!$A$3:$A$501,"=11",'ANALITIKA EU PROJEKATA'!$P$3:$P$501,"=452")</f>
        <v>0</v>
      </c>
      <c r="F55" s="138">
        <f>SUMIFS('Plan rashoda za unos u SAP'!$I$3:$I$501,'Plan rashoda za unos u SAP'!$C$3:$C$501,"=12",'Plan rashoda za unos u SAP'!$M$3:$M$501,"=452")+SUMIFS('ANALITIKA EU PROJEKATA'!$G$3:$G$501,'ANALITIKA EU PROJEKATA'!$A$3:$A$501,"=12",'ANALITIKA EU PROJEKATA'!$P$3:$P$501,"=452")</f>
        <v>0</v>
      </c>
      <c r="G55" s="138">
        <f>SUMIFS('Plan rashoda za unos u SAP'!$I$3:$I$501,'Plan rashoda za unos u SAP'!$C$3:$C$501,"=31",'Plan rashoda za unos u SAP'!$M$3:$M$501,"=452")+SUMIFS('ANALITIKA EU PROJEKATA'!$G$3:$G$501,'ANALITIKA EU PROJEKATA'!$A$3:$A$501,"=31",'ANALITIKA EU PROJEKATA'!$P$3:$P$501,"=452")</f>
        <v>0</v>
      </c>
      <c r="H55" s="138">
        <f>SUMIFS('Plan rashoda za unos u SAP'!$I$3:$I$501,'Plan rashoda za unos u SAP'!$C$3:$C$501,"=41",'Plan rashoda za unos u SAP'!$M$3:$M$501,"=452")+SUMIFS('ANALITIKA EU PROJEKATA'!$G$3:$G$501,'ANALITIKA EU PROJEKATA'!$A$3:$A$501,"=41",'ANALITIKA EU PROJEKATA'!$P$3:$P$501,"=452")</f>
        <v>0</v>
      </c>
      <c r="I55" s="138">
        <f>SUMIFS('Plan rashoda za unos u SAP'!$I$3:$I$501,'Plan rashoda za unos u SAP'!$C$3:$C$501,"=43",'Plan rashoda za unos u SAP'!$M$3:$M$501,"=452")+SUMIFS('ANALITIKA EU PROJEKATA'!$G$3:$G$501,'ANALITIKA EU PROJEKATA'!$A$3:$A$501,"=43",'ANALITIKA EU PROJEKATA'!$P$3:$P$501,"=452")</f>
        <v>0</v>
      </c>
      <c r="J55" s="138">
        <f>SUMIFS('Plan rashoda za unos u SAP'!$I$3:$I$501,'Plan rashoda za unos u SAP'!$C$3:$C$501,"=51",'Plan rashoda za unos u SAP'!$M$3:$M$501,"=452")+SUMIFS('ANALITIKA EU PROJEKATA'!$G$3:$G$501,'ANALITIKA EU PROJEKATA'!$A$3:$A$501,"=51",'ANALITIKA EU PROJEKATA'!$P$3:$P$501,"=452")</f>
        <v>0</v>
      </c>
      <c r="K55" s="138">
        <f>SUMIFS('Plan rashoda za unos u SAP'!$I$3:$I$501,'Plan rashoda za unos u SAP'!$C$3:$C$501,"=52",'Plan rashoda za unos u SAP'!$M$3:$M$501,"=452")+SUMIFS('ANALITIKA EU PROJEKATA'!$G$3:$G$501,'ANALITIKA EU PROJEKATA'!$A$3:$A$501,"=52",'ANALITIKA EU PROJEKATA'!$P$3:$P$501,"=452")</f>
        <v>0</v>
      </c>
      <c r="L55" s="138">
        <f>SUMIFS('Plan rashoda za unos u SAP'!$I$3:$I$501,'Plan rashoda za unos u SAP'!$C$3:$C$501,"=552",'Plan rashoda za unos u SAP'!$M$3:$M$501,"=452")+SUMIFS('ANALITIKA EU PROJEKATA'!$G$3:$G$501,'ANALITIKA EU PROJEKATA'!$A$3:$A$501,"=552",'ANALITIKA EU PROJEKATA'!$P$3:$P$501,"=452")</f>
        <v>0</v>
      </c>
      <c r="M55" s="138">
        <f>SUMIFS('Plan rashoda za unos u SAP'!$I$3:$I$501,'Plan rashoda za unos u SAP'!$C$3:$C$501,"=559",'Plan rashoda za unos u SAP'!$M$3:$M$501,"=452")+SUMIFS('ANALITIKA EU PROJEKATA'!$G$3:$G$501,'ANALITIKA EU PROJEKATA'!$A$3:$A$501,"=559",'ANALITIKA EU PROJEKATA'!$P$3:$P$501,"=452")</f>
        <v>0</v>
      </c>
      <c r="N55" s="138">
        <f>SUMIFS('Plan rashoda za unos u SAP'!$I$3:$I$501,'Plan rashoda za unos u SAP'!$C$3:$C$501,"=561",'Plan rashoda za unos u SAP'!$M$3:$M$501,"=452")+SUMIFS('ANALITIKA EU PROJEKATA'!$G$3:$G$501,'ANALITIKA EU PROJEKATA'!$A$3:$A$501,"=561",'ANALITIKA EU PROJEKATA'!$P$3:$P$501,"=452")</f>
        <v>0</v>
      </c>
      <c r="O55" s="138">
        <f>SUMIFS('Plan rashoda za unos u SAP'!$I$3:$I$501,'Plan rashoda za unos u SAP'!$C$3:$C$501,"=563",'Plan rashoda za unos u SAP'!$M$3:$M$501,"=452")+SUMIFS('ANALITIKA EU PROJEKATA'!$G$3:$G$501,'ANALITIKA EU PROJEKATA'!$A$3:$A$501,"=563",'ANALITIKA EU PROJEKATA'!$P$3:$P$501,"=452")</f>
        <v>0</v>
      </c>
      <c r="P55" s="138">
        <f>SUMIFS('Plan rashoda za unos u SAP'!$I$3:$I$501,'Plan rashoda za unos u SAP'!$C$3:$C$501,"=573",'Plan rashoda za unos u SAP'!$M$3:$M$501,"=452")+SUMIFS('ANALITIKA EU PROJEKATA'!$G$3:$G$501,'ANALITIKA EU PROJEKATA'!$A$3:$A$501,"=573",'ANALITIKA EU PROJEKATA'!$P$3:$P$501,"=452")</f>
        <v>0</v>
      </c>
      <c r="Q55" s="138">
        <f>SUMIFS('Plan rashoda za unos u SAP'!$I$3:$I$501,'Plan rashoda za unos u SAP'!$C$3:$C$501,"=575",'Plan rashoda za unos u SAP'!$M$3:$M$501,"=452")+SUMIFS('ANALITIKA EU PROJEKATA'!$G$3:$G$501,'ANALITIKA EU PROJEKATA'!$A$3:$A$501,"=575",'ANALITIKA EU PROJEKATA'!$P$3:$P$501,"=452")</f>
        <v>0</v>
      </c>
      <c r="R55" s="138">
        <f>SUMIFS('Plan rashoda za unos u SAP'!$I$3:$I$501,'Plan rashoda za unos u SAP'!$C$3:$C$501,"=576",'Plan rashoda za unos u SAP'!$M$3:$M$501,"=452")+SUMIFS('ANALITIKA EU PROJEKATA'!$G$3:$G$501,'ANALITIKA EU PROJEKATA'!$A$3:$A$501,"=576",'ANALITIKA EU PROJEKATA'!$P$3:$P$501,"=452")</f>
        <v>0</v>
      </c>
      <c r="S55" s="138">
        <f>SUMIFS('Plan rashoda za unos u SAP'!$I$3:$I$501,'Plan rashoda za unos u SAP'!$C$3:$C$501,"=581",'Plan rashoda za unos u SAP'!$M$3:$M$501,"=452")+SUMIFS('ANALITIKA EU PROJEKATA'!$G$3:$G$501,'ANALITIKA EU PROJEKATA'!$A$3:$A$501,"=581",'ANALITIKA EU PROJEKATA'!$P$3:$P$501,"=452")</f>
        <v>0</v>
      </c>
      <c r="T55" s="138">
        <f>SUMIFS('Plan rashoda za unos u SAP'!$I$3:$I$501,'Plan rashoda za unos u SAP'!$C$3:$C$501,"=61",'Plan rashoda za unos u SAP'!$M$3:$M$501,"=452")+SUMIFS('ANALITIKA EU PROJEKATA'!$G$3:$G$501,'ANALITIKA EU PROJEKATA'!$A$3:$A$501,"=61",'ANALITIKA EU PROJEKATA'!$P$3:$P$501,"=452")</f>
        <v>0</v>
      </c>
      <c r="U55" s="138">
        <f>SUMIFS('Plan rashoda za unos u SAP'!$I$3:$I$501,'Plan rashoda za unos u SAP'!$C$3:$C$501,"=63",'Plan rashoda za unos u SAP'!$M$3:$M$501,"=452")+SUMIFS('ANALITIKA EU PROJEKATA'!$G$3:$G$501,'ANALITIKA EU PROJEKATA'!$A$3:$A$501,"=63",'ANALITIKA EU PROJEKATA'!$P$3:$P$501,"=452")</f>
        <v>0</v>
      </c>
      <c r="V55" s="138">
        <f>SUMIFS('Plan rashoda za unos u SAP'!$I$3:$I$501,'Plan rashoda za unos u SAP'!$C$3:$C$501,"=71",'Plan rashoda za unos u SAP'!$M$3:$M$501,"=452")+SUMIFS('ANALITIKA EU PROJEKATA'!$G$3:$G$501,'ANALITIKA EU PROJEKATA'!$A$3:$A$501,"=71",'ANALITIKA EU PROJEKATA'!$P$3:$P$501,"=452")</f>
        <v>0</v>
      </c>
      <c r="W55" s="138">
        <f>SUMIFS('Plan rashoda za unos u SAP'!$I$3:$I$501,'Plan rashoda za unos u SAP'!$C$3:$C$501,"=81",'Plan rashoda za unos u SAP'!$M$3:$M$501,"=452")+SUMIFS('ANALITIKA EU PROJEKATA'!$G$3:$G$501,'ANALITIKA EU PROJEKATA'!$A$3:$A$501,"=81",'ANALITIKA EU PROJEKATA'!$P$3:$P$501,"=452")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187</v>
      </c>
      <c r="D56" s="14">
        <f t="shared" si="10"/>
        <v>0</v>
      </c>
      <c r="E56" s="138">
        <f>SUMIFS('Plan rashoda za unos u SAP'!$I$3:$I$501,'Plan rashoda za unos u SAP'!$C$3:$C$501,"=11",'Plan rashoda za unos u SAP'!$M$3:$M$501,"=453")+SUMIFS('ANALITIKA EU PROJEKATA'!$G$3:$G$501,'ANALITIKA EU PROJEKATA'!$A$3:$A$501,"=11",'ANALITIKA EU PROJEKATA'!$P$3:$P$501,"=453")</f>
        <v>0</v>
      </c>
      <c r="F56" s="138">
        <f>SUMIFS('Plan rashoda za unos u SAP'!$I$3:$I$501,'Plan rashoda za unos u SAP'!$C$3:$C$501,"=12",'Plan rashoda za unos u SAP'!$M$3:$M$501,"=453")+SUMIFS('ANALITIKA EU PROJEKATA'!$G$3:$G$501,'ANALITIKA EU PROJEKATA'!$A$3:$A$501,"=12",'ANALITIKA EU PROJEKATA'!$P$3:$P$501,"=453")</f>
        <v>0</v>
      </c>
      <c r="G56" s="138">
        <f>SUMIFS('Plan rashoda za unos u SAP'!$I$3:$I$501,'Plan rashoda za unos u SAP'!$C$3:$C$501,"=31",'Plan rashoda za unos u SAP'!$M$3:$M$501,"=453")+SUMIFS('ANALITIKA EU PROJEKATA'!$G$3:$G$501,'ANALITIKA EU PROJEKATA'!$A$3:$A$501,"=31",'ANALITIKA EU PROJEKATA'!$P$3:$P$501,"=453")</f>
        <v>0</v>
      </c>
      <c r="H56" s="138">
        <f>SUMIFS('Plan rashoda za unos u SAP'!$I$3:$I$501,'Plan rashoda za unos u SAP'!$C$3:$C$501,"=41",'Plan rashoda za unos u SAP'!$M$3:$M$501,"=453")+SUMIFS('ANALITIKA EU PROJEKATA'!$G$3:$G$501,'ANALITIKA EU PROJEKATA'!$A$3:$A$501,"=41",'ANALITIKA EU PROJEKATA'!$P$3:$P$501,"=453")</f>
        <v>0</v>
      </c>
      <c r="I56" s="138">
        <f>SUMIFS('Plan rashoda za unos u SAP'!$I$3:$I$501,'Plan rashoda za unos u SAP'!$C$3:$C$501,"=43",'Plan rashoda za unos u SAP'!$M$3:$M$501,"=453")+SUMIFS('ANALITIKA EU PROJEKATA'!$G$3:$G$501,'ANALITIKA EU PROJEKATA'!$A$3:$A$501,"=43",'ANALITIKA EU PROJEKATA'!$P$3:$P$501,"=453")</f>
        <v>0</v>
      </c>
      <c r="J56" s="138">
        <f>SUMIFS('Plan rashoda za unos u SAP'!$I$3:$I$501,'Plan rashoda za unos u SAP'!$C$3:$C$501,"=51",'Plan rashoda za unos u SAP'!$M$3:$M$501,"=453")+SUMIFS('ANALITIKA EU PROJEKATA'!$G$3:$G$501,'ANALITIKA EU PROJEKATA'!$A$3:$A$501,"=51",'ANALITIKA EU PROJEKATA'!$P$3:$P$501,"=453")</f>
        <v>0</v>
      </c>
      <c r="K56" s="138">
        <f>SUMIFS('Plan rashoda za unos u SAP'!$I$3:$I$501,'Plan rashoda za unos u SAP'!$C$3:$C$501,"=52",'Plan rashoda za unos u SAP'!$M$3:$M$501,"=453")+SUMIFS('ANALITIKA EU PROJEKATA'!$G$3:$G$501,'ANALITIKA EU PROJEKATA'!$A$3:$A$501,"=52",'ANALITIKA EU PROJEKATA'!$P$3:$P$501,"=453")</f>
        <v>0</v>
      </c>
      <c r="L56" s="138">
        <f>SUMIFS('Plan rashoda za unos u SAP'!$I$3:$I$501,'Plan rashoda za unos u SAP'!$C$3:$C$501,"=552",'Plan rashoda za unos u SAP'!$M$3:$M$501,"=453")+SUMIFS('ANALITIKA EU PROJEKATA'!$G$3:$G$501,'ANALITIKA EU PROJEKATA'!$A$3:$A$501,"=552",'ANALITIKA EU PROJEKATA'!$P$3:$P$501,"=453")</f>
        <v>0</v>
      </c>
      <c r="M56" s="138">
        <f>SUMIFS('Plan rashoda za unos u SAP'!$I$3:$I$501,'Plan rashoda za unos u SAP'!$C$3:$C$501,"=559",'Plan rashoda za unos u SAP'!$M$3:$M$501,"=453")+SUMIFS('ANALITIKA EU PROJEKATA'!$G$3:$G$501,'ANALITIKA EU PROJEKATA'!$A$3:$A$501,"=559",'ANALITIKA EU PROJEKATA'!$P$3:$P$501,"=453")</f>
        <v>0</v>
      </c>
      <c r="N56" s="138">
        <f>SUMIFS('Plan rashoda za unos u SAP'!$I$3:$I$501,'Plan rashoda za unos u SAP'!$C$3:$C$501,"=561",'Plan rashoda za unos u SAP'!$M$3:$M$501,"=453")+SUMIFS('ANALITIKA EU PROJEKATA'!$G$3:$G$501,'ANALITIKA EU PROJEKATA'!$A$3:$A$501,"=561",'ANALITIKA EU PROJEKATA'!$P$3:$P$501,"=453")</f>
        <v>0</v>
      </c>
      <c r="O56" s="138">
        <f>SUMIFS('Plan rashoda za unos u SAP'!$I$3:$I$501,'Plan rashoda za unos u SAP'!$C$3:$C$501,"=563",'Plan rashoda za unos u SAP'!$M$3:$M$501,"=453")+SUMIFS('ANALITIKA EU PROJEKATA'!$G$3:$G$501,'ANALITIKA EU PROJEKATA'!$A$3:$A$501,"=563",'ANALITIKA EU PROJEKATA'!$P$3:$P$501,"=453")</f>
        <v>0</v>
      </c>
      <c r="P56" s="138">
        <f>SUMIFS('Plan rashoda za unos u SAP'!$I$3:$I$501,'Plan rashoda za unos u SAP'!$C$3:$C$501,"=573",'Plan rashoda za unos u SAP'!$M$3:$M$501,"=453")+SUMIFS('ANALITIKA EU PROJEKATA'!$G$3:$G$501,'ANALITIKA EU PROJEKATA'!$A$3:$A$501,"=573",'ANALITIKA EU PROJEKATA'!$P$3:$P$501,"=453")</f>
        <v>0</v>
      </c>
      <c r="Q56" s="138">
        <f>SUMIFS('Plan rashoda za unos u SAP'!$I$3:$I$501,'Plan rashoda za unos u SAP'!$C$3:$C$501,"=575",'Plan rashoda za unos u SAP'!$M$3:$M$501,"=453")+SUMIFS('ANALITIKA EU PROJEKATA'!$G$3:$G$501,'ANALITIKA EU PROJEKATA'!$A$3:$A$501,"=575",'ANALITIKA EU PROJEKATA'!$P$3:$P$501,"=453")</f>
        <v>0</v>
      </c>
      <c r="R56" s="138">
        <f>SUMIFS('Plan rashoda za unos u SAP'!$I$3:$I$501,'Plan rashoda za unos u SAP'!$C$3:$C$501,"=576",'Plan rashoda za unos u SAP'!$M$3:$M$501,"=453")+SUMIFS('ANALITIKA EU PROJEKATA'!$G$3:$G$501,'ANALITIKA EU PROJEKATA'!$A$3:$A$501,"=576",'ANALITIKA EU PROJEKATA'!$P$3:$P$501,"=453")</f>
        <v>0</v>
      </c>
      <c r="S56" s="138">
        <f>SUMIFS('Plan rashoda za unos u SAP'!$I$3:$I$501,'Plan rashoda za unos u SAP'!$C$3:$C$501,"=581",'Plan rashoda za unos u SAP'!$M$3:$M$501,"=453")+SUMIFS('ANALITIKA EU PROJEKATA'!$G$3:$G$501,'ANALITIKA EU PROJEKATA'!$A$3:$A$501,"=581",'ANALITIKA EU PROJEKATA'!$P$3:$P$501,"=453")</f>
        <v>0</v>
      </c>
      <c r="T56" s="138">
        <f>SUMIFS('Plan rashoda za unos u SAP'!$I$3:$I$501,'Plan rashoda za unos u SAP'!$C$3:$C$501,"=61",'Plan rashoda za unos u SAP'!$M$3:$M$501,"=453")+SUMIFS('ANALITIKA EU PROJEKATA'!$G$3:$G$501,'ANALITIKA EU PROJEKATA'!$A$3:$A$501,"=61",'ANALITIKA EU PROJEKATA'!$P$3:$P$501,"=453")</f>
        <v>0</v>
      </c>
      <c r="U56" s="138">
        <f>SUMIFS('Plan rashoda za unos u SAP'!$I$3:$I$501,'Plan rashoda za unos u SAP'!$C$3:$C$501,"=63",'Plan rashoda za unos u SAP'!$M$3:$M$501,"=453")+SUMIFS('ANALITIKA EU PROJEKATA'!$G$3:$G$501,'ANALITIKA EU PROJEKATA'!$A$3:$A$501,"=63",'ANALITIKA EU PROJEKATA'!$P$3:$P$501,"=453")</f>
        <v>0</v>
      </c>
      <c r="V56" s="138">
        <f>SUMIFS('Plan rashoda za unos u SAP'!$I$3:$I$501,'Plan rashoda za unos u SAP'!$C$3:$C$501,"=71",'Plan rashoda za unos u SAP'!$M$3:$M$501,"=453")+SUMIFS('ANALITIKA EU PROJEKATA'!$G$3:$G$501,'ANALITIKA EU PROJEKATA'!$A$3:$A$501,"=71",'ANALITIKA EU PROJEKATA'!$P$3:$P$501,"=453")</f>
        <v>0</v>
      </c>
      <c r="W56" s="138">
        <f>SUMIFS('Plan rashoda za unos u SAP'!$I$3:$I$501,'Plan rashoda za unos u SAP'!$C$3:$C$501,"=81",'Plan rashoda za unos u SAP'!$M$3:$M$501,"=453")+SUMIFS('ANALITIKA EU PROJEKATA'!$G$3:$G$501,'ANALITIKA EU PROJEKATA'!$A$3:$A$501,"=81",'ANALITIKA EU PROJEKATA'!$P$3:$P$501,"=453")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139</v>
      </c>
      <c r="D57" s="14">
        <f t="shared" si="10"/>
        <v>0</v>
      </c>
      <c r="E57" s="138">
        <f>SUMIFS('Plan rashoda za unos u SAP'!$I$3:$I$501,'Plan rashoda za unos u SAP'!$C$3:$C$501,"=11",'Plan rashoda za unos u SAP'!$M$3:$M$501,"=454")+SUMIFS('ANALITIKA EU PROJEKATA'!$G$3:$G$501,'ANALITIKA EU PROJEKATA'!$A$3:$A$501,"=11",'ANALITIKA EU PROJEKATA'!$P$3:$P$501,"=454")</f>
        <v>0</v>
      </c>
      <c r="F57" s="138">
        <f>SUMIFS('Plan rashoda za unos u SAP'!$I$3:$I$501,'Plan rashoda za unos u SAP'!$C$3:$C$501,"=12",'Plan rashoda za unos u SAP'!$M$3:$M$501,"=454")+SUMIFS('ANALITIKA EU PROJEKATA'!$G$3:$G$501,'ANALITIKA EU PROJEKATA'!$A$3:$A$501,"=12",'ANALITIKA EU PROJEKATA'!$P$3:$P$501,"=454")</f>
        <v>0</v>
      </c>
      <c r="G57" s="138">
        <f>SUMIFS('Plan rashoda za unos u SAP'!$I$3:$I$501,'Plan rashoda za unos u SAP'!$C$3:$C$501,"=31",'Plan rashoda za unos u SAP'!$M$3:$M$501,"=454")+SUMIFS('ANALITIKA EU PROJEKATA'!$G$3:$G$501,'ANALITIKA EU PROJEKATA'!$A$3:$A$501,"=31",'ANALITIKA EU PROJEKATA'!$P$3:$P$501,"=454")</f>
        <v>0</v>
      </c>
      <c r="H57" s="138">
        <f>SUMIFS('Plan rashoda za unos u SAP'!$I$3:$I$501,'Plan rashoda za unos u SAP'!$C$3:$C$501,"=41",'Plan rashoda za unos u SAP'!$M$3:$M$501,"=454")+SUMIFS('ANALITIKA EU PROJEKATA'!$G$3:$G$501,'ANALITIKA EU PROJEKATA'!$A$3:$A$501,"=41",'ANALITIKA EU PROJEKATA'!$P$3:$P$501,"=454")</f>
        <v>0</v>
      </c>
      <c r="I57" s="138">
        <f>SUMIFS('Plan rashoda za unos u SAP'!$I$3:$I$501,'Plan rashoda za unos u SAP'!$C$3:$C$501,"=43",'Plan rashoda za unos u SAP'!$M$3:$M$501,"=454")+SUMIFS('ANALITIKA EU PROJEKATA'!$G$3:$G$501,'ANALITIKA EU PROJEKATA'!$A$3:$A$501,"=43",'ANALITIKA EU PROJEKATA'!$P$3:$P$501,"=454")</f>
        <v>0</v>
      </c>
      <c r="J57" s="138">
        <f>SUMIFS('Plan rashoda za unos u SAP'!$I$3:$I$501,'Plan rashoda za unos u SAP'!$C$3:$C$501,"=51",'Plan rashoda za unos u SAP'!$M$3:$M$501,"=454")+SUMIFS('ANALITIKA EU PROJEKATA'!$G$3:$G$501,'ANALITIKA EU PROJEKATA'!$A$3:$A$501,"=51",'ANALITIKA EU PROJEKATA'!$P$3:$P$501,"=454")</f>
        <v>0</v>
      </c>
      <c r="K57" s="138">
        <f>SUMIFS('Plan rashoda za unos u SAP'!$I$3:$I$501,'Plan rashoda za unos u SAP'!$C$3:$C$501,"=52",'Plan rashoda za unos u SAP'!$M$3:$M$501,"=454")+SUMIFS('ANALITIKA EU PROJEKATA'!$G$3:$G$501,'ANALITIKA EU PROJEKATA'!$A$3:$A$501,"=52",'ANALITIKA EU PROJEKATA'!$P$3:$P$501,"=454")</f>
        <v>0</v>
      </c>
      <c r="L57" s="138">
        <f>SUMIFS('Plan rashoda za unos u SAP'!$I$3:$I$501,'Plan rashoda za unos u SAP'!$C$3:$C$501,"=552",'Plan rashoda za unos u SAP'!$M$3:$M$501,"=454")+SUMIFS('ANALITIKA EU PROJEKATA'!$G$3:$G$501,'ANALITIKA EU PROJEKATA'!$A$3:$A$501,"=552",'ANALITIKA EU PROJEKATA'!$P$3:$P$501,"=454")</f>
        <v>0</v>
      </c>
      <c r="M57" s="138">
        <f>SUMIFS('Plan rashoda za unos u SAP'!$I$3:$I$501,'Plan rashoda za unos u SAP'!$C$3:$C$501,"=559",'Plan rashoda za unos u SAP'!$M$3:$M$501,"=454")+SUMIFS('ANALITIKA EU PROJEKATA'!$G$3:$G$501,'ANALITIKA EU PROJEKATA'!$A$3:$A$501,"=559",'ANALITIKA EU PROJEKATA'!$P$3:$P$501,"=454")</f>
        <v>0</v>
      </c>
      <c r="N57" s="138">
        <f>SUMIFS('Plan rashoda za unos u SAP'!$I$3:$I$501,'Plan rashoda za unos u SAP'!$C$3:$C$501,"=561",'Plan rashoda za unos u SAP'!$M$3:$M$501,"=454")+SUMIFS('ANALITIKA EU PROJEKATA'!$G$3:$G$501,'ANALITIKA EU PROJEKATA'!$A$3:$A$501,"=561",'ANALITIKA EU PROJEKATA'!$P$3:$P$501,"=454")</f>
        <v>0</v>
      </c>
      <c r="O57" s="138">
        <f>SUMIFS('Plan rashoda za unos u SAP'!$I$3:$I$501,'Plan rashoda za unos u SAP'!$C$3:$C$501,"=563",'Plan rashoda za unos u SAP'!$M$3:$M$501,"=454")+SUMIFS('ANALITIKA EU PROJEKATA'!$G$3:$G$501,'ANALITIKA EU PROJEKATA'!$A$3:$A$501,"=563",'ANALITIKA EU PROJEKATA'!$P$3:$P$501,"=454")</f>
        <v>0</v>
      </c>
      <c r="P57" s="138">
        <f>SUMIFS('Plan rashoda za unos u SAP'!$I$3:$I$501,'Plan rashoda za unos u SAP'!$C$3:$C$501,"=573",'Plan rashoda za unos u SAP'!$M$3:$M$501,"=454")+SUMIFS('ANALITIKA EU PROJEKATA'!$G$3:$G$501,'ANALITIKA EU PROJEKATA'!$A$3:$A$501,"=573",'ANALITIKA EU PROJEKATA'!$P$3:$P$501,"=454")</f>
        <v>0</v>
      </c>
      <c r="Q57" s="138">
        <f>SUMIFS('Plan rashoda za unos u SAP'!$I$3:$I$501,'Plan rashoda za unos u SAP'!$C$3:$C$501,"=575",'Plan rashoda za unos u SAP'!$M$3:$M$501,"=454")+SUMIFS('ANALITIKA EU PROJEKATA'!$G$3:$G$501,'ANALITIKA EU PROJEKATA'!$A$3:$A$501,"=575",'ANALITIKA EU PROJEKATA'!$P$3:$P$501,"=454")</f>
        <v>0</v>
      </c>
      <c r="R57" s="138">
        <f>SUMIFS('Plan rashoda za unos u SAP'!$I$3:$I$501,'Plan rashoda za unos u SAP'!$C$3:$C$501,"=576",'Plan rashoda za unos u SAP'!$M$3:$M$501,"=454")+SUMIFS('ANALITIKA EU PROJEKATA'!$G$3:$G$501,'ANALITIKA EU PROJEKATA'!$A$3:$A$501,"=576",'ANALITIKA EU PROJEKATA'!$P$3:$P$501,"=454")</f>
        <v>0</v>
      </c>
      <c r="S57" s="138">
        <f>SUMIFS('Plan rashoda za unos u SAP'!$I$3:$I$501,'Plan rashoda za unos u SAP'!$C$3:$C$501,"=581",'Plan rashoda za unos u SAP'!$M$3:$M$501,"=454")+SUMIFS('ANALITIKA EU PROJEKATA'!$G$3:$G$501,'ANALITIKA EU PROJEKATA'!$A$3:$A$501,"=581",'ANALITIKA EU PROJEKATA'!$P$3:$P$501,"=454")</f>
        <v>0</v>
      </c>
      <c r="T57" s="138">
        <f>SUMIFS('Plan rashoda za unos u SAP'!$I$3:$I$501,'Plan rashoda za unos u SAP'!$C$3:$C$501,"=61",'Plan rashoda za unos u SAP'!$M$3:$M$501,"=454")+SUMIFS('ANALITIKA EU PROJEKATA'!$G$3:$G$501,'ANALITIKA EU PROJEKATA'!$A$3:$A$501,"=61",'ANALITIKA EU PROJEKATA'!$P$3:$P$501,"=454")</f>
        <v>0</v>
      </c>
      <c r="U57" s="138">
        <f>SUMIFS('Plan rashoda za unos u SAP'!$I$3:$I$501,'Plan rashoda za unos u SAP'!$C$3:$C$501,"=63",'Plan rashoda za unos u SAP'!$M$3:$M$501,"=454")+SUMIFS('ANALITIKA EU PROJEKATA'!$G$3:$G$501,'ANALITIKA EU PROJEKATA'!$A$3:$A$501,"=63",'ANALITIKA EU PROJEKATA'!$P$3:$P$501,"=454")</f>
        <v>0</v>
      </c>
      <c r="V57" s="138">
        <f>SUMIFS('Plan rashoda za unos u SAP'!$I$3:$I$501,'Plan rashoda za unos u SAP'!$C$3:$C$501,"=71",'Plan rashoda za unos u SAP'!$M$3:$M$501,"=454")+SUMIFS('ANALITIKA EU PROJEKATA'!$G$3:$G$501,'ANALITIKA EU PROJEKATA'!$A$3:$A$501,"=71",'ANALITIKA EU PROJEKATA'!$P$3:$P$501,"=454")</f>
        <v>0</v>
      </c>
      <c r="W57" s="138">
        <f>SUMIFS('Plan rashoda za unos u SAP'!$I$3:$I$501,'Plan rashoda za unos u SAP'!$C$3:$C$501,"=81",'Plan rashoda za unos u SAP'!$M$3:$M$501,"=454")+SUMIFS('ANALITIKA EU PROJEKATA'!$G$3:$G$501,'ANALITIKA EU PROJEKATA'!$A$3:$A$501,"=81",'ANALITIKA EU PROJEKATA'!$P$3:$P$501,"=454")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0"/>
        <v>0</v>
      </c>
      <c r="E58" s="125">
        <f t="shared" ref="E58:W58" si="17">+E59+E63</f>
        <v>0</v>
      </c>
      <c r="F58" s="125">
        <f t="shared" si="17"/>
        <v>0</v>
      </c>
      <c r="G58" s="125">
        <f t="shared" si="17"/>
        <v>0</v>
      </c>
      <c r="H58" s="125">
        <f>+H59+H63</f>
        <v>0</v>
      </c>
      <c r="I58" s="125">
        <f t="shared" si="17"/>
        <v>0</v>
      </c>
      <c r="J58" s="125">
        <f t="shared" si="17"/>
        <v>0</v>
      </c>
      <c r="K58" s="125">
        <f t="shared" si="17"/>
        <v>0</v>
      </c>
      <c r="L58" s="125">
        <f>+L59+L63</f>
        <v>0</v>
      </c>
      <c r="M58" s="125">
        <f t="shared" si="17"/>
        <v>0</v>
      </c>
      <c r="N58" s="125">
        <f t="shared" si="17"/>
        <v>0</v>
      </c>
      <c r="O58" s="125">
        <f t="shared" si="17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>+S59+S63</f>
        <v>0</v>
      </c>
      <c r="T58" s="125">
        <f t="shared" si="17"/>
        <v>0</v>
      </c>
      <c r="U58" s="125">
        <f t="shared" si="17"/>
        <v>0</v>
      </c>
      <c r="V58" s="125">
        <f t="shared" si="17"/>
        <v>0</v>
      </c>
      <c r="W58" s="125">
        <f t="shared" si="17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347</v>
      </c>
      <c r="D59" s="78">
        <f t="shared" si="10"/>
        <v>0</v>
      </c>
      <c r="E59" s="12">
        <f t="shared" ref="E59:W59" si="18">SUM(E60:E62)</f>
        <v>0</v>
      </c>
      <c r="F59" s="12">
        <f t="shared" si="18"/>
        <v>0</v>
      </c>
      <c r="G59" s="12">
        <f t="shared" si="18"/>
        <v>0</v>
      </c>
      <c r="H59" s="12">
        <f t="shared" si="18"/>
        <v>0</v>
      </c>
      <c r="I59" s="12">
        <f t="shared" si="18"/>
        <v>0</v>
      </c>
      <c r="J59" s="12">
        <f t="shared" si="18"/>
        <v>0</v>
      </c>
      <c r="K59" s="12">
        <f t="shared" si="18"/>
        <v>0</v>
      </c>
      <c r="L59" s="12">
        <f t="shared" si="18"/>
        <v>0</v>
      </c>
      <c r="M59" s="12">
        <f t="shared" si="18"/>
        <v>0</v>
      </c>
      <c r="N59" s="12">
        <f t="shared" si="18"/>
        <v>0</v>
      </c>
      <c r="O59" s="12">
        <f t="shared" si="18"/>
        <v>0</v>
      </c>
      <c r="P59" s="12">
        <f t="shared" si="18"/>
        <v>0</v>
      </c>
      <c r="Q59" s="12">
        <f t="shared" si="18"/>
        <v>0</v>
      </c>
      <c r="R59" s="12">
        <f t="shared" ref="R59" si="19">SUM(R60:R62)</f>
        <v>0</v>
      </c>
      <c r="S59" s="12">
        <f>SUM(S60:S62)</f>
        <v>0</v>
      </c>
      <c r="T59" s="12">
        <f t="shared" si="18"/>
        <v>0</v>
      </c>
      <c r="U59" s="12">
        <f t="shared" si="18"/>
        <v>0</v>
      </c>
      <c r="V59" s="12">
        <f t="shared" si="18"/>
        <v>0</v>
      </c>
      <c r="W59" s="12">
        <f t="shared" si="18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5">
        <v>512</v>
      </c>
      <c r="C60" s="81" t="s">
        <v>352</v>
      </c>
      <c r="D60" s="78">
        <f t="shared" si="10"/>
        <v>0</v>
      </c>
      <c r="E60" s="138">
        <f>SUMIFS('Plan rashoda za unos u SAP'!$I$3:$I$501,'Plan rashoda za unos u SAP'!$C$3:$C$501,"=11",'Plan rashoda za unos u SAP'!$M$3:$M$501,"=512")+SUMIFS('ANALITIKA EU PROJEKATA'!$G$3:$G$501,'ANALITIKA EU PROJEKATA'!$A$3:$A$501,"=11",'ANALITIKA EU PROJEKATA'!$P$3:$P$501,"=512")</f>
        <v>0</v>
      </c>
      <c r="F60" s="138">
        <f>SUMIFS('Plan rashoda za unos u SAP'!$I$3:$I$501,'Plan rashoda za unos u SAP'!$C$3:$C$501,"=12",'Plan rashoda za unos u SAP'!$M$3:$M$501,"=512")+SUMIFS('ANALITIKA EU PROJEKATA'!$G$3:$G$501,'ANALITIKA EU PROJEKATA'!$A$3:$A$501,"=12",'ANALITIKA EU PROJEKATA'!$P$3:$P$501,"=512")</f>
        <v>0</v>
      </c>
      <c r="G60" s="138">
        <f>SUMIFS('Plan rashoda za unos u SAP'!$I$3:$I$501,'Plan rashoda za unos u SAP'!$C$3:$C$501,"=31",'Plan rashoda za unos u SAP'!$M$3:$M$501,"=512")+SUMIFS('ANALITIKA EU PROJEKATA'!$G$3:$G$501,'ANALITIKA EU PROJEKATA'!$A$3:$A$501,"=31",'ANALITIKA EU PROJEKATA'!$P$3:$P$501,"=512")</f>
        <v>0</v>
      </c>
      <c r="H60" s="138">
        <f>SUMIFS('Plan rashoda za unos u SAP'!$I$3:$I$501,'Plan rashoda za unos u SAP'!$C$3:$C$501,"=41",'Plan rashoda za unos u SAP'!$M$3:$M$501,"=512")+SUMIFS('ANALITIKA EU PROJEKATA'!$G$3:$G$501,'ANALITIKA EU PROJEKATA'!$A$3:$A$501,"=41",'ANALITIKA EU PROJEKATA'!$P$3:$P$501,"=512")</f>
        <v>0</v>
      </c>
      <c r="I60" s="138">
        <f>SUMIFS('Plan rashoda za unos u SAP'!$I$3:$I$501,'Plan rashoda za unos u SAP'!$C$3:$C$501,"=43",'Plan rashoda za unos u SAP'!$M$3:$M$501,"=512")+SUMIFS('ANALITIKA EU PROJEKATA'!$G$3:$G$501,'ANALITIKA EU PROJEKATA'!$A$3:$A$501,"=43",'ANALITIKA EU PROJEKATA'!$P$3:$P$501,"=512")</f>
        <v>0</v>
      </c>
      <c r="J60" s="138">
        <f>SUMIFS('Plan rashoda za unos u SAP'!$I$3:$I$501,'Plan rashoda za unos u SAP'!$C$3:$C$501,"=51",'Plan rashoda za unos u SAP'!$M$3:$M$501,"=512")+SUMIFS('ANALITIKA EU PROJEKATA'!$G$3:$G$501,'ANALITIKA EU PROJEKATA'!$A$3:$A$501,"=51",'ANALITIKA EU PROJEKATA'!$P$3:$P$501,"=512")</f>
        <v>0</v>
      </c>
      <c r="K60" s="138">
        <f>SUMIFS('Plan rashoda za unos u SAP'!$I$3:$I$501,'Plan rashoda za unos u SAP'!$C$3:$C$501,"=52",'Plan rashoda za unos u SAP'!$M$3:$M$501,"=512")+SUMIFS('ANALITIKA EU PROJEKATA'!$G$3:$G$501,'ANALITIKA EU PROJEKATA'!$A$3:$A$501,"=52",'ANALITIKA EU PROJEKATA'!$P$3:$P$501,"=512")</f>
        <v>0</v>
      </c>
      <c r="L60" s="138">
        <f>SUMIFS('Plan rashoda za unos u SAP'!$I$3:$I$501,'Plan rashoda za unos u SAP'!$C$3:$C$501,"=552",'Plan rashoda za unos u SAP'!$M$3:$M$501,"=512")+SUMIFS('ANALITIKA EU PROJEKATA'!$G$3:$G$501,'ANALITIKA EU PROJEKATA'!$A$3:$A$501,"=552",'ANALITIKA EU PROJEKATA'!$P$3:$P$501,"=512")</f>
        <v>0</v>
      </c>
      <c r="M60" s="138">
        <f>SUMIFS('Plan rashoda za unos u SAP'!$I$3:$I$501,'Plan rashoda za unos u SAP'!$C$3:$C$501,"=559",'Plan rashoda za unos u SAP'!$M$3:$M$501,"=512")+SUMIFS('ANALITIKA EU PROJEKATA'!$G$3:$G$501,'ANALITIKA EU PROJEKATA'!$A$3:$A$501,"=559",'ANALITIKA EU PROJEKATA'!$P$3:$P$501,"=512")</f>
        <v>0</v>
      </c>
      <c r="N60" s="138">
        <f>SUMIFS('Plan rashoda za unos u SAP'!$I$3:$I$501,'Plan rashoda za unos u SAP'!$C$3:$C$501,"=561",'Plan rashoda za unos u SAP'!$M$3:$M$501,"=512")+SUMIFS('ANALITIKA EU PROJEKATA'!$G$3:$G$501,'ANALITIKA EU PROJEKATA'!$A$3:$A$501,"=561",'ANALITIKA EU PROJEKATA'!$P$3:$P$501,"=512")</f>
        <v>0</v>
      </c>
      <c r="O60" s="138">
        <f>SUMIFS('Plan rashoda za unos u SAP'!$I$3:$I$501,'Plan rashoda za unos u SAP'!$C$3:$C$501,"=563",'Plan rashoda za unos u SAP'!$M$3:$M$501,"=512")+SUMIFS('ANALITIKA EU PROJEKATA'!$G$3:$G$501,'ANALITIKA EU PROJEKATA'!$A$3:$A$501,"=563",'ANALITIKA EU PROJEKATA'!$P$3:$P$501,"=512")</f>
        <v>0</v>
      </c>
      <c r="P60" s="138">
        <f>SUMIFS('Plan rashoda za unos u SAP'!$I$3:$I$501,'Plan rashoda za unos u SAP'!$C$3:$C$501,"=573",'Plan rashoda za unos u SAP'!$M$3:$M$501,"=512")+SUMIFS('ANALITIKA EU PROJEKATA'!$G$3:$G$501,'ANALITIKA EU PROJEKATA'!$A$3:$A$501,"=573",'ANALITIKA EU PROJEKATA'!$P$3:$P$501,"=512")</f>
        <v>0</v>
      </c>
      <c r="Q60" s="138">
        <f>SUMIFS('Plan rashoda za unos u SAP'!$I$3:$I$501,'Plan rashoda za unos u SAP'!$C$3:$C$501,"=575",'Plan rashoda za unos u SAP'!$M$3:$M$501,"=512")+SUMIFS('ANALITIKA EU PROJEKATA'!$G$3:$G$501,'ANALITIKA EU PROJEKATA'!$A$3:$A$501,"=575",'ANALITIKA EU PROJEKATA'!$P$3:$P$501,"=512")</f>
        <v>0</v>
      </c>
      <c r="R60" s="138">
        <f>SUMIFS('Plan rashoda za unos u SAP'!$I$3:$I$501,'Plan rashoda za unos u SAP'!$C$3:$C$501,"=576",'Plan rashoda za unos u SAP'!$M$3:$M$501,"=512")+SUMIFS('ANALITIKA EU PROJEKATA'!$G$3:$G$501,'ANALITIKA EU PROJEKATA'!$A$3:$A$501,"=576",'ANALITIKA EU PROJEKATA'!$P$3:$P$501,"=512")</f>
        <v>0</v>
      </c>
      <c r="S60" s="138">
        <f>SUMIFS('Plan rashoda za unos u SAP'!$I$3:$I$501,'Plan rashoda za unos u SAP'!$C$3:$C$501,"=581",'Plan rashoda za unos u SAP'!$M$3:$M$501,"=512")+SUMIFS('ANALITIKA EU PROJEKATA'!$G$3:$G$501,'ANALITIKA EU PROJEKATA'!$A$3:$A$501,"=581",'ANALITIKA EU PROJEKATA'!$P$3:$P$501,"=512")</f>
        <v>0</v>
      </c>
      <c r="T60" s="138">
        <f>SUMIFS('Plan rashoda za unos u SAP'!$I$3:$I$501,'Plan rashoda za unos u SAP'!$C$3:$C$501,"=61",'Plan rashoda za unos u SAP'!$M$3:$M$501,"=512")+SUMIFS('ANALITIKA EU PROJEKATA'!$G$3:$G$501,'ANALITIKA EU PROJEKATA'!$A$3:$A$501,"=61",'ANALITIKA EU PROJEKATA'!$P$3:$P$501,"=512")</f>
        <v>0</v>
      </c>
      <c r="U60" s="138">
        <f>SUMIFS('Plan rashoda za unos u SAP'!$I$3:$I$501,'Plan rashoda za unos u SAP'!$C$3:$C$501,"=63",'Plan rashoda za unos u SAP'!$M$3:$M$501,"=512")+SUMIFS('ANALITIKA EU PROJEKATA'!$G$3:$G$501,'ANALITIKA EU PROJEKATA'!$A$3:$A$501,"=63",'ANALITIKA EU PROJEKATA'!$P$3:$P$501,"=512")</f>
        <v>0</v>
      </c>
      <c r="V60" s="138">
        <f>SUMIFS('Plan rashoda za unos u SAP'!$I$3:$I$501,'Plan rashoda za unos u SAP'!$C$3:$C$501,"=71",'Plan rashoda za unos u SAP'!$M$3:$M$501,"=512")+SUMIFS('ANALITIKA EU PROJEKATA'!$G$3:$G$501,'ANALITIKA EU PROJEKATA'!$A$3:$A$501,"=71",'ANALITIKA EU PROJEKATA'!$P$3:$P$501,"=512")</f>
        <v>0</v>
      </c>
      <c r="W60" s="138">
        <f>SUMIFS('Plan rashoda za unos u SAP'!$I$3:$I$501,'Plan rashoda za unos u SAP'!$C$3:$C$501,"=81",'Plan rashoda za unos u SAP'!$M$3:$M$501,"=512")+SUMIFS('ANALITIKA EU PROJEKATA'!$G$3:$G$501,'ANALITIKA EU PROJEKATA'!$A$3:$A$501,"=81",'ANALITIKA EU PROJEKATA'!$P$3:$P$501,"=512")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5">
        <v>514</v>
      </c>
      <c r="C61" s="81" t="s">
        <v>353</v>
      </c>
      <c r="D61" s="78">
        <f t="shared" si="10"/>
        <v>0</v>
      </c>
      <c r="E61" s="138">
        <f>SUMIFS('Plan rashoda za unos u SAP'!$I$3:$I$501,'Plan rashoda za unos u SAP'!$C$3:$C$501,"=11",'Plan rashoda za unos u SAP'!$M$3:$M$501,"=514")+SUMIFS('ANALITIKA EU PROJEKATA'!$G$3:$G$501,'ANALITIKA EU PROJEKATA'!$A$3:$A$501,"=11",'ANALITIKA EU PROJEKATA'!$P$3:$P$501,"=514")</f>
        <v>0</v>
      </c>
      <c r="F61" s="138">
        <f>SUMIFS('Plan rashoda za unos u SAP'!$I$3:$I$501,'Plan rashoda za unos u SAP'!$C$3:$C$501,"=12",'Plan rashoda za unos u SAP'!$M$3:$M$501,"=514")+SUMIFS('ANALITIKA EU PROJEKATA'!$G$3:$G$501,'ANALITIKA EU PROJEKATA'!$A$3:$A$501,"=12",'ANALITIKA EU PROJEKATA'!$P$3:$P$501,"=514")</f>
        <v>0</v>
      </c>
      <c r="G61" s="138">
        <f>SUMIFS('Plan rashoda za unos u SAP'!$I$3:$I$501,'Plan rashoda za unos u SAP'!$C$3:$C$501,"=31",'Plan rashoda za unos u SAP'!$M$3:$M$501,"=514")+SUMIFS('ANALITIKA EU PROJEKATA'!$G$3:$G$501,'ANALITIKA EU PROJEKATA'!$A$3:$A$501,"=31",'ANALITIKA EU PROJEKATA'!$P$3:$P$501,"=514")</f>
        <v>0</v>
      </c>
      <c r="H61" s="138">
        <f>SUMIFS('Plan rashoda za unos u SAP'!$I$3:$I$501,'Plan rashoda za unos u SAP'!$C$3:$C$501,"=41",'Plan rashoda za unos u SAP'!$M$3:$M$501,"=514")+SUMIFS('ANALITIKA EU PROJEKATA'!$G$3:$G$501,'ANALITIKA EU PROJEKATA'!$A$3:$A$501,"=41",'ANALITIKA EU PROJEKATA'!$P$3:$P$501,"=514")</f>
        <v>0</v>
      </c>
      <c r="I61" s="138">
        <f>SUMIFS('Plan rashoda za unos u SAP'!$I$3:$I$501,'Plan rashoda za unos u SAP'!$C$3:$C$501,"=43",'Plan rashoda za unos u SAP'!$M$3:$M$501,"=514")+SUMIFS('ANALITIKA EU PROJEKATA'!$G$3:$G$501,'ANALITIKA EU PROJEKATA'!$A$3:$A$501,"=43",'ANALITIKA EU PROJEKATA'!$P$3:$P$501,"=514")</f>
        <v>0</v>
      </c>
      <c r="J61" s="138">
        <f>SUMIFS('Plan rashoda za unos u SAP'!$I$3:$I$501,'Plan rashoda za unos u SAP'!$C$3:$C$501,"=51",'Plan rashoda za unos u SAP'!$M$3:$M$501,"=514")+SUMIFS('ANALITIKA EU PROJEKATA'!$G$3:$G$501,'ANALITIKA EU PROJEKATA'!$A$3:$A$501,"=51",'ANALITIKA EU PROJEKATA'!$P$3:$P$501,"=514")</f>
        <v>0</v>
      </c>
      <c r="K61" s="138">
        <f>SUMIFS('Plan rashoda za unos u SAP'!$I$3:$I$501,'Plan rashoda za unos u SAP'!$C$3:$C$501,"=52",'Plan rashoda za unos u SAP'!$M$3:$M$501,"=514")+SUMIFS('ANALITIKA EU PROJEKATA'!$G$3:$G$501,'ANALITIKA EU PROJEKATA'!$A$3:$A$501,"=52",'ANALITIKA EU PROJEKATA'!$P$3:$P$501,"=514")</f>
        <v>0</v>
      </c>
      <c r="L61" s="138">
        <f>SUMIFS('Plan rashoda za unos u SAP'!$I$3:$I$501,'Plan rashoda za unos u SAP'!$C$3:$C$501,"=552",'Plan rashoda za unos u SAP'!$M$3:$M$501,"=514")+SUMIFS('ANALITIKA EU PROJEKATA'!$G$3:$G$501,'ANALITIKA EU PROJEKATA'!$A$3:$A$501,"=552",'ANALITIKA EU PROJEKATA'!$P$3:$P$501,"=514")</f>
        <v>0</v>
      </c>
      <c r="M61" s="138">
        <f>SUMIFS('Plan rashoda za unos u SAP'!$I$3:$I$501,'Plan rashoda za unos u SAP'!$C$3:$C$501,"=559",'Plan rashoda za unos u SAP'!$M$3:$M$501,"=514")+SUMIFS('ANALITIKA EU PROJEKATA'!$G$3:$G$501,'ANALITIKA EU PROJEKATA'!$A$3:$A$501,"=559",'ANALITIKA EU PROJEKATA'!$P$3:$P$501,"=514")</f>
        <v>0</v>
      </c>
      <c r="N61" s="138">
        <f>SUMIFS('Plan rashoda za unos u SAP'!$I$3:$I$501,'Plan rashoda za unos u SAP'!$C$3:$C$501,"=561",'Plan rashoda za unos u SAP'!$M$3:$M$501,"=514")+SUMIFS('ANALITIKA EU PROJEKATA'!$G$3:$G$501,'ANALITIKA EU PROJEKATA'!$A$3:$A$501,"=561",'ANALITIKA EU PROJEKATA'!$P$3:$P$501,"=514")</f>
        <v>0</v>
      </c>
      <c r="O61" s="138">
        <f>SUMIFS('Plan rashoda za unos u SAP'!$I$3:$I$501,'Plan rashoda za unos u SAP'!$C$3:$C$501,"=563",'Plan rashoda za unos u SAP'!$M$3:$M$501,"=514")+SUMIFS('ANALITIKA EU PROJEKATA'!$G$3:$G$501,'ANALITIKA EU PROJEKATA'!$A$3:$A$501,"=563",'ANALITIKA EU PROJEKATA'!$P$3:$P$501,"=514")</f>
        <v>0</v>
      </c>
      <c r="P61" s="138">
        <f>SUMIFS('Plan rashoda za unos u SAP'!$I$3:$I$501,'Plan rashoda za unos u SAP'!$C$3:$C$501,"=573",'Plan rashoda za unos u SAP'!$M$3:$M$501,"=514")+SUMIFS('ANALITIKA EU PROJEKATA'!$G$3:$G$501,'ANALITIKA EU PROJEKATA'!$A$3:$A$501,"=573",'ANALITIKA EU PROJEKATA'!$P$3:$P$501,"=514")</f>
        <v>0</v>
      </c>
      <c r="Q61" s="138">
        <f>SUMIFS('Plan rashoda za unos u SAP'!$I$3:$I$501,'Plan rashoda za unos u SAP'!$C$3:$C$501,"=575",'Plan rashoda za unos u SAP'!$M$3:$M$501,"=514")+SUMIFS('ANALITIKA EU PROJEKATA'!$G$3:$G$501,'ANALITIKA EU PROJEKATA'!$A$3:$A$501,"=575",'ANALITIKA EU PROJEKATA'!$P$3:$P$501,"=514")</f>
        <v>0</v>
      </c>
      <c r="R61" s="138">
        <f>SUMIFS('Plan rashoda za unos u SAP'!$I$3:$I$501,'Plan rashoda za unos u SAP'!$C$3:$C$501,"=576",'Plan rashoda za unos u SAP'!$M$3:$M$501,"=514")+SUMIFS('ANALITIKA EU PROJEKATA'!$G$3:$G$501,'ANALITIKA EU PROJEKATA'!$A$3:$A$501,"=576",'ANALITIKA EU PROJEKATA'!$P$3:$P$501,"=514")</f>
        <v>0</v>
      </c>
      <c r="S61" s="138">
        <f>SUMIFS('Plan rashoda za unos u SAP'!$I$3:$I$501,'Plan rashoda za unos u SAP'!$C$3:$C$501,"=581",'Plan rashoda za unos u SAP'!$M$3:$M$501,"=514")+SUMIFS('ANALITIKA EU PROJEKATA'!$G$3:$G$501,'ANALITIKA EU PROJEKATA'!$A$3:$A$501,"=581",'ANALITIKA EU PROJEKATA'!$P$3:$P$501,"=514")</f>
        <v>0</v>
      </c>
      <c r="T61" s="138">
        <f>SUMIFS('Plan rashoda za unos u SAP'!$I$3:$I$501,'Plan rashoda za unos u SAP'!$C$3:$C$501,"=61",'Plan rashoda za unos u SAP'!$M$3:$M$501,"=514")+SUMIFS('ANALITIKA EU PROJEKATA'!$G$3:$G$501,'ANALITIKA EU PROJEKATA'!$A$3:$A$501,"=61",'ANALITIKA EU PROJEKATA'!$P$3:$P$501,"=514")</f>
        <v>0</v>
      </c>
      <c r="U61" s="138">
        <f>SUMIFS('Plan rashoda za unos u SAP'!$I$3:$I$501,'Plan rashoda za unos u SAP'!$C$3:$C$501,"=63",'Plan rashoda za unos u SAP'!$M$3:$M$501,"=514")+SUMIFS('ANALITIKA EU PROJEKATA'!$G$3:$G$501,'ANALITIKA EU PROJEKATA'!$A$3:$A$501,"=63",'ANALITIKA EU PROJEKATA'!$P$3:$P$501,"=514")</f>
        <v>0</v>
      </c>
      <c r="V61" s="138">
        <f>SUMIFS('Plan rashoda za unos u SAP'!$I$3:$I$501,'Plan rashoda za unos u SAP'!$C$3:$C$501,"=71",'Plan rashoda za unos u SAP'!$M$3:$M$501,"=514")+SUMIFS('ANALITIKA EU PROJEKATA'!$G$3:$G$501,'ANALITIKA EU PROJEKATA'!$A$3:$A$501,"=71",'ANALITIKA EU PROJEKATA'!$P$3:$P$501,"=514")</f>
        <v>0</v>
      </c>
      <c r="W61" s="138">
        <f>SUMIFS('Plan rashoda za unos u SAP'!$I$3:$I$501,'Plan rashoda za unos u SAP'!$C$3:$C$501,"=81",'Plan rashoda za unos u SAP'!$M$3:$M$501,"=514")+SUMIFS('ANALITIKA EU PROJEKATA'!$G$3:$G$501,'ANALITIKA EU PROJEKATA'!$A$3:$A$501,"=81",'ANALITIKA EU PROJEKATA'!$P$3:$P$501,"=514")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5">
        <v>518</v>
      </c>
      <c r="C62" s="81" t="s">
        <v>354</v>
      </c>
      <c r="D62" s="78">
        <f t="shared" si="10"/>
        <v>0</v>
      </c>
      <c r="E62" s="138">
        <f>SUMIFS('Plan rashoda za unos u SAP'!$I$3:$I$501,'Plan rashoda za unos u SAP'!$C$3:$C$501,"=11",'Plan rashoda za unos u SAP'!$M$3:$M$501,"=518")+SUMIFS('ANALITIKA EU PROJEKATA'!$G$3:$G$501,'ANALITIKA EU PROJEKATA'!$A$3:$A$501,"=11",'ANALITIKA EU PROJEKATA'!$P$3:$P$501,"=518")</f>
        <v>0</v>
      </c>
      <c r="F62" s="138">
        <f>SUMIFS('Plan rashoda za unos u SAP'!$I$3:$I$501,'Plan rashoda za unos u SAP'!$C$3:$C$501,"=12",'Plan rashoda za unos u SAP'!$M$3:$M$501,"=518")+SUMIFS('ANALITIKA EU PROJEKATA'!$G$3:$G$501,'ANALITIKA EU PROJEKATA'!$A$3:$A$501,"=12",'ANALITIKA EU PROJEKATA'!$P$3:$P$501,"=518")</f>
        <v>0</v>
      </c>
      <c r="G62" s="138">
        <f>SUMIFS('Plan rashoda za unos u SAP'!$I$3:$I$501,'Plan rashoda za unos u SAP'!$C$3:$C$501,"=31",'Plan rashoda za unos u SAP'!$M$3:$M$501,"=518")+SUMIFS('ANALITIKA EU PROJEKATA'!$G$3:$G$501,'ANALITIKA EU PROJEKATA'!$A$3:$A$501,"=31",'ANALITIKA EU PROJEKATA'!$P$3:$P$501,"=518")</f>
        <v>0</v>
      </c>
      <c r="H62" s="138">
        <f>SUMIFS('Plan rashoda za unos u SAP'!$I$3:$I$501,'Plan rashoda za unos u SAP'!$C$3:$C$501,"=41",'Plan rashoda za unos u SAP'!$M$3:$M$501,"=518")+SUMIFS('ANALITIKA EU PROJEKATA'!$G$3:$G$501,'ANALITIKA EU PROJEKATA'!$A$3:$A$501,"=41",'ANALITIKA EU PROJEKATA'!$P$3:$P$501,"=518")</f>
        <v>0</v>
      </c>
      <c r="I62" s="138">
        <f>SUMIFS('Plan rashoda za unos u SAP'!$I$3:$I$501,'Plan rashoda za unos u SAP'!$C$3:$C$501,"=43",'Plan rashoda za unos u SAP'!$M$3:$M$501,"=518")+SUMIFS('ANALITIKA EU PROJEKATA'!$G$3:$G$501,'ANALITIKA EU PROJEKATA'!$A$3:$A$501,"=43",'ANALITIKA EU PROJEKATA'!$P$3:$P$501,"=518")</f>
        <v>0</v>
      </c>
      <c r="J62" s="138">
        <f>SUMIFS('Plan rashoda za unos u SAP'!$I$3:$I$501,'Plan rashoda za unos u SAP'!$C$3:$C$501,"=51",'Plan rashoda za unos u SAP'!$M$3:$M$501,"=518")+SUMIFS('ANALITIKA EU PROJEKATA'!$G$3:$G$501,'ANALITIKA EU PROJEKATA'!$A$3:$A$501,"=51",'ANALITIKA EU PROJEKATA'!$P$3:$P$501,"=518")</f>
        <v>0</v>
      </c>
      <c r="K62" s="138">
        <f>SUMIFS('Plan rashoda za unos u SAP'!$I$3:$I$501,'Plan rashoda za unos u SAP'!$C$3:$C$501,"=52",'Plan rashoda za unos u SAP'!$M$3:$M$501,"=518")+SUMIFS('ANALITIKA EU PROJEKATA'!$G$3:$G$501,'ANALITIKA EU PROJEKATA'!$A$3:$A$501,"=52",'ANALITIKA EU PROJEKATA'!$P$3:$P$501,"=518")</f>
        <v>0</v>
      </c>
      <c r="L62" s="138">
        <f>SUMIFS('Plan rashoda za unos u SAP'!$I$3:$I$501,'Plan rashoda za unos u SAP'!$C$3:$C$501,"=552",'Plan rashoda za unos u SAP'!$M$3:$M$501,"=518")+SUMIFS('ANALITIKA EU PROJEKATA'!$G$3:$G$501,'ANALITIKA EU PROJEKATA'!$A$3:$A$501,"=552",'ANALITIKA EU PROJEKATA'!$P$3:$P$501,"=518")</f>
        <v>0</v>
      </c>
      <c r="M62" s="138">
        <f>SUMIFS('Plan rashoda za unos u SAP'!$I$3:$I$501,'Plan rashoda za unos u SAP'!$C$3:$C$501,"=559",'Plan rashoda za unos u SAP'!$M$3:$M$501,"=518")+SUMIFS('ANALITIKA EU PROJEKATA'!$G$3:$G$501,'ANALITIKA EU PROJEKATA'!$A$3:$A$501,"=559",'ANALITIKA EU PROJEKATA'!$P$3:$P$501,"=518")</f>
        <v>0</v>
      </c>
      <c r="N62" s="138">
        <f>SUMIFS('Plan rashoda za unos u SAP'!$I$3:$I$501,'Plan rashoda za unos u SAP'!$C$3:$C$501,"=561",'Plan rashoda za unos u SAP'!$M$3:$M$501,"=518")+SUMIFS('ANALITIKA EU PROJEKATA'!$G$3:$G$501,'ANALITIKA EU PROJEKATA'!$A$3:$A$501,"=561",'ANALITIKA EU PROJEKATA'!$P$3:$P$501,"=518")</f>
        <v>0</v>
      </c>
      <c r="O62" s="138">
        <f>SUMIFS('Plan rashoda za unos u SAP'!$I$3:$I$501,'Plan rashoda za unos u SAP'!$C$3:$C$501,"=563",'Plan rashoda za unos u SAP'!$M$3:$M$501,"=518")+SUMIFS('ANALITIKA EU PROJEKATA'!$G$3:$G$501,'ANALITIKA EU PROJEKATA'!$A$3:$A$501,"=563",'ANALITIKA EU PROJEKATA'!$P$3:$P$501,"=518")</f>
        <v>0</v>
      </c>
      <c r="P62" s="138">
        <f>SUMIFS('Plan rashoda za unos u SAP'!$I$3:$I$501,'Plan rashoda za unos u SAP'!$C$3:$C$501,"=573",'Plan rashoda za unos u SAP'!$M$3:$M$501,"=518")+SUMIFS('ANALITIKA EU PROJEKATA'!$G$3:$G$501,'ANALITIKA EU PROJEKATA'!$A$3:$A$501,"=573",'ANALITIKA EU PROJEKATA'!$P$3:$P$501,"=518")</f>
        <v>0</v>
      </c>
      <c r="Q62" s="138">
        <f>SUMIFS('Plan rashoda za unos u SAP'!$I$3:$I$501,'Plan rashoda za unos u SAP'!$C$3:$C$501,"=575",'Plan rashoda za unos u SAP'!$M$3:$M$501,"=518")+SUMIFS('ANALITIKA EU PROJEKATA'!$G$3:$G$501,'ANALITIKA EU PROJEKATA'!$A$3:$A$501,"=575",'ANALITIKA EU PROJEKATA'!$P$3:$P$501,"=518")</f>
        <v>0</v>
      </c>
      <c r="R62" s="138">
        <f>SUMIFS('Plan rashoda za unos u SAP'!$I$3:$I$501,'Plan rashoda za unos u SAP'!$C$3:$C$501,"=576",'Plan rashoda za unos u SAP'!$M$3:$M$501,"=518")+SUMIFS('ANALITIKA EU PROJEKATA'!$G$3:$G$501,'ANALITIKA EU PROJEKATA'!$A$3:$A$501,"=576",'ANALITIKA EU PROJEKATA'!$P$3:$P$501,"=518")</f>
        <v>0</v>
      </c>
      <c r="S62" s="138">
        <f>SUMIFS('Plan rashoda za unos u SAP'!$I$3:$I$501,'Plan rashoda za unos u SAP'!$C$3:$C$501,"=581",'Plan rashoda za unos u SAP'!$M$3:$M$501,"=518")+SUMIFS('ANALITIKA EU PROJEKATA'!$G$3:$G$501,'ANALITIKA EU PROJEKATA'!$A$3:$A$501,"=581",'ANALITIKA EU PROJEKATA'!$P$3:$P$501,"=518")</f>
        <v>0</v>
      </c>
      <c r="T62" s="138">
        <f>SUMIFS('Plan rashoda za unos u SAP'!$I$3:$I$501,'Plan rashoda za unos u SAP'!$C$3:$C$501,"=61",'Plan rashoda za unos u SAP'!$M$3:$M$501,"=518")+SUMIFS('ANALITIKA EU PROJEKATA'!$G$3:$G$501,'ANALITIKA EU PROJEKATA'!$A$3:$A$501,"=61",'ANALITIKA EU PROJEKATA'!$P$3:$P$501,"=518")</f>
        <v>0</v>
      </c>
      <c r="U62" s="138">
        <f>SUMIFS('Plan rashoda za unos u SAP'!$I$3:$I$501,'Plan rashoda za unos u SAP'!$C$3:$C$501,"=63",'Plan rashoda za unos u SAP'!$M$3:$M$501,"=518")+SUMIFS('ANALITIKA EU PROJEKATA'!$G$3:$G$501,'ANALITIKA EU PROJEKATA'!$A$3:$A$501,"=63",'ANALITIKA EU PROJEKATA'!$P$3:$P$501,"=518")</f>
        <v>0</v>
      </c>
      <c r="V62" s="138">
        <f>SUMIFS('Plan rashoda za unos u SAP'!$I$3:$I$501,'Plan rashoda za unos u SAP'!$C$3:$C$501,"=71",'Plan rashoda za unos u SAP'!$M$3:$M$501,"=518")+SUMIFS('ANALITIKA EU PROJEKATA'!$G$3:$G$501,'ANALITIKA EU PROJEKATA'!$A$3:$A$501,"=71",'ANALITIKA EU PROJEKATA'!$P$3:$P$501,"=518")</f>
        <v>0</v>
      </c>
      <c r="W62" s="138">
        <f>SUMIFS('Plan rashoda za unos u SAP'!$I$3:$I$501,'Plan rashoda za unos u SAP'!$C$3:$C$501,"=81",'Plan rashoda za unos u SAP'!$M$3:$M$501,"=518")+SUMIFS('ANALITIKA EU PROJEKATA'!$G$3:$G$501,'ANALITIKA EU PROJEKATA'!$A$3:$A$501,"=81",'ANALITIKA EU PROJEKATA'!$P$3:$P$501,"=518")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348</v>
      </c>
      <c r="D63" s="78">
        <f t="shared" si="10"/>
        <v>0</v>
      </c>
      <c r="E63" s="12">
        <f>SUM(E64:E68)</f>
        <v>0</v>
      </c>
      <c r="F63" s="12">
        <f>SUM(F64:F68)</f>
        <v>0</v>
      </c>
      <c r="G63" s="12">
        <f t="shared" ref="G63:W63" si="20">SUM(G64:G68)</f>
        <v>0</v>
      </c>
      <c r="H63" s="12">
        <f>SUM(H64:H68)</f>
        <v>0</v>
      </c>
      <c r="I63" s="12">
        <f t="shared" si="20"/>
        <v>0</v>
      </c>
      <c r="J63" s="12">
        <f>SUM(J64:J68)</f>
        <v>0</v>
      </c>
      <c r="K63" s="12">
        <f t="shared" si="20"/>
        <v>0</v>
      </c>
      <c r="L63" s="12">
        <f>SUM(L64:L68)</f>
        <v>0</v>
      </c>
      <c r="M63" s="12">
        <f t="shared" si="20"/>
        <v>0</v>
      </c>
      <c r="N63" s="12">
        <f t="shared" si="20"/>
        <v>0</v>
      </c>
      <c r="O63" s="12">
        <f t="shared" si="20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>SUM(S64:S68)</f>
        <v>0</v>
      </c>
      <c r="T63" s="12">
        <f t="shared" si="20"/>
        <v>0</v>
      </c>
      <c r="U63" s="12">
        <f t="shared" si="20"/>
        <v>0</v>
      </c>
      <c r="V63" s="12">
        <f t="shared" si="20"/>
        <v>0</v>
      </c>
      <c r="W63" s="12">
        <f t="shared" si="20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355</v>
      </c>
      <c r="D64" s="78">
        <f t="shared" si="10"/>
        <v>0</v>
      </c>
      <c r="E64" s="138">
        <f>SUMIFS('Plan rashoda za unos u SAP'!$I$3:$I$501,'Plan rashoda za unos u SAP'!$C$3:$C$501,"=11",'Plan rashoda za unos u SAP'!$M$3:$M$501,"=542")+SUMIFS('ANALITIKA EU PROJEKATA'!$G$3:$G$501,'ANALITIKA EU PROJEKATA'!$A$3:$A$501,"=11",'ANALITIKA EU PROJEKATA'!$P$3:$P$501,"=542")</f>
        <v>0</v>
      </c>
      <c r="F64" s="138">
        <f>SUMIFS('Plan rashoda za unos u SAP'!$I$3:$I$501,'Plan rashoda za unos u SAP'!$C$3:$C$501,"=12",'Plan rashoda za unos u SAP'!$M$3:$M$501,"=542")+SUMIFS('ANALITIKA EU PROJEKATA'!$G$3:$G$501,'ANALITIKA EU PROJEKATA'!$A$3:$A$501,"=12",'ANALITIKA EU PROJEKATA'!$P$3:$P$501,"=542")</f>
        <v>0</v>
      </c>
      <c r="G64" s="138">
        <f>SUMIFS('Plan rashoda za unos u SAP'!$I$3:$I$501,'Plan rashoda za unos u SAP'!$C$3:$C$501,"=31",'Plan rashoda za unos u SAP'!$M$3:$M$501,"=542")+SUMIFS('ANALITIKA EU PROJEKATA'!$G$3:$G$501,'ANALITIKA EU PROJEKATA'!$A$3:$A$501,"=31",'ANALITIKA EU PROJEKATA'!$P$3:$P$501,"=542")</f>
        <v>0</v>
      </c>
      <c r="H64" s="138">
        <f>SUMIFS('Plan rashoda za unos u SAP'!$I$3:$I$501,'Plan rashoda za unos u SAP'!$C$3:$C$501,"=41",'Plan rashoda za unos u SAP'!$M$3:$M$501,"=542")+SUMIFS('ANALITIKA EU PROJEKATA'!$G$3:$G$501,'ANALITIKA EU PROJEKATA'!$A$3:$A$501,"=41",'ANALITIKA EU PROJEKATA'!$P$3:$P$501,"=542")</f>
        <v>0</v>
      </c>
      <c r="I64" s="138">
        <f>SUMIFS('Plan rashoda za unos u SAP'!$I$3:$I$501,'Plan rashoda za unos u SAP'!$C$3:$C$501,"=43",'Plan rashoda za unos u SAP'!$M$3:$M$501,"=542")+SUMIFS('ANALITIKA EU PROJEKATA'!$G$3:$G$501,'ANALITIKA EU PROJEKATA'!$A$3:$A$501,"=43",'ANALITIKA EU PROJEKATA'!$P$3:$P$501,"=542")</f>
        <v>0</v>
      </c>
      <c r="J64" s="138">
        <f>SUMIFS('Plan rashoda za unos u SAP'!$I$3:$I$501,'Plan rashoda za unos u SAP'!$C$3:$C$501,"=51",'Plan rashoda za unos u SAP'!$M$3:$M$501,"=542")+SUMIFS('ANALITIKA EU PROJEKATA'!$G$3:$G$501,'ANALITIKA EU PROJEKATA'!$A$3:$A$501,"=51",'ANALITIKA EU PROJEKATA'!$P$3:$P$501,"=542")</f>
        <v>0</v>
      </c>
      <c r="K64" s="138">
        <f>SUMIFS('Plan rashoda za unos u SAP'!$I$3:$I$501,'Plan rashoda za unos u SAP'!$C$3:$C$501,"=52",'Plan rashoda za unos u SAP'!$M$3:$M$501,"=542")+SUMIFS('ANALITIKA EU PROJEKATA'!$G$3:$G$501,'ANALITIKA EU PROJEKATA'!$A$3:$A$501,"=52",'ANALITIKA EU PROJEKATA'!$P$3:$P$501,"=542")</f>
        <v>0</v>
      </c>
      <c r="L64" s="138">
        <f>SUMIFS('Plan rashoda za unos u SAP'!$I$3:$I$501,'Plan rashoda za unos u SAP'!$C$3:$C$501,"=552",'Plan rashoda za unos u SAP'!$M$3:$M$501,"=542")+SUMIFS('ANALITIKA EU PROJEKATA'!$G$3:$G$501,'ANALITIKA EU PROJEKATA'!$A$3:$A$501,"=552",'ANALITIKA EU PROJEKATA'!$P$3:$P$501,"=542")</f>
        <v>0</v>
      </c>
      <c r="M64" s="138">
        <f>SUMIFS('Plan rashoda za unos u SAP'!$I$3:$I$501,'Plan rashoda za unos u SAP'!$C$3:$C$501,"=559",'Plan rashoda za unos u SAP'!$M$3:$M$501,"=542")+SUMIFS('ANALITIKA EU PROJEKATA'!$G$3:$G$501,'ANALITIKA EU PROJEKATA'!$A$3:$A$501,"=559",'ANALITIKA EU PROJEKATA'!$P$3:$P$501,"=542")</f>
        <v>0</v>
      </c>
      <c r="N64" s="138">
        <f>SUMIFS('Plan rashoda za unos u SAP'!$I$3:$I$501,'Plan rashoda za unos u SAP'!$C$3:$C$501,"=561",'Plan rashoda za unos u SAP'!$M$3:$M$501,"=542")+SUMIFS('ANALITIKA EU PROJEKATA'!$G$3:$G$501,'ANALITIKA EU PROJEKATA'!$A$3:$A$501,"=561",'ANALITIKA EU PROJEKATA'!$P$3:$P$501,"=542")</f>
        <v>0</v>
      </c>
      <c r="O64" s="138">
        <f>SUMIFS('Plan rashoda za unos u SAP'!$I$3:$I$501,'Plan rashoda za unos u SAP'!$C$3:$C$501,"=563",'Plan rashoda za unos u SAP'!$M$3:$M$501,"=542")+SUMIFS('ANALITIKA EU PROJEKATA'!$G$3:$G$501,'ANALITIKA EU PROJEKATA'!$A$3:$A$501,"=563",'ANALITIKA EU PROJEKATA'!$P$3:$P$501,"=542")</f>
        <v>0</v>
      </c>
      <c r="P64" s="138">
        <f>SUMIFS('Plan rashoda za unos u SAP'!$I$3:$I$501,'Plan rashoda za unos u SAP'!$C$3:$C$501,"=573",'Plan rashoda za unos u SAP'!$M$3:$M$501,"=542")+SUMIFS('ANALITIKA EU PROJEKATA'!$G$3:$G$501,'ANALITIKA EU PROJEKATA'!$A$3:$A$501,"=573",'ANALITIKA EU PROJEKATA'!$P$3:$P$501,"=542")</f>
        <v>0</v>
      </c>
      <c r="Q64" s="138">
        <f>SUMIFS('Plan rashoda za unos u SAP'!$I$3:$I$501,'Plan rashoda za unos u SAP'!$C$3:$C$501,"=575",'Plan rashoda za unos u SAP'!$M$3:$M$501,"=542")+SUMIFS('ANALITIKA EU PROJEKATA'!$G$3:$G$501,'ANALITIKA EU PROJEKATA'!$A$3:$A$501,"=575",'ANALITIKA EU PROJEKATA'!$P$3:$P$501,"=542")</f>
        <v>0</v>
      </c>
      <c r="R64" s="138">
        <f>SUMIFS('Plan rashoda za unos u SAP'!$I$3:$I$501,'Plan rashoda za unos u SAP'!$C$3:$C$501,"=576",'Plan rashoda za unos u SAP'!$M$3:$M$501,"=542")+SUMIFS('ANALITIKA EU PROJEKATA'!$G$3:$G$501,'ANALITIKA EU PROJEKATA'!$A$3:$A$501,"=576",'ANALITIKA EU PROJEKATA'!$P$3:$P$501,"=542")</f>
        <v>0</v>
      </c>
      <c r="S64" s="138">
        <f>SUMIFS('Plan rashoda za unos u SAP'!$I$3:$I$501,'Plan rashoda za unos u SAP'!$C$3:$C$501,"=581",'Plan rashoda za unos u SAP'!$M$3:$M$501,"=542")+SUMIFS('ANALITIKA EU PROJEKATA'!$G$3:$G$501,'ANALITIKA EU PROJEKATA'!$A$3:$A$501,"=581",'ANALITIKA EU PROJEKATA'!$P$3:$P$501,"=542")</f>
        <v>0</v>
      </c>
      <c r="T64" s="138">
        <f>SUMIFS('Plan rashoda za unos u SAP'!$I$3:$I$501,'Plan rashoda za unos u SAP'!$C$3:$C$501,"=61",'Plan rashoda za unos u SAP'!$M$3:$M$501,"=542")+SUMIFS('ANALITIKA EU PROJEKATA'!$G$3:$G$501,'ANALITIKA EU PROJEKATA'!$A$3:$A$501,"=61",'ANALITIKA EU PROJEKATA'!$P$3:$P$501,"=542")</f>
        <v>0</v>
      </c>
      <c r="U64" s="138">
        <f>SUMIFS('Plan rashoda za unos u SAP'!$I$3:$I$501,'Plan rashoda za unos u SAP'!$C$3:$C$501,"=63",'Plan rashoda za unos u SAP'!$M$3:$M$501,"=542")+SUMIFS('ANALITIKA EU PROJEKATA'!$G$3:$G$501,'ANALITIKA EU PROJEKATA'!$A$3:$A$501,"=63",'ANALITIKA EU PROJEKATA'!$P$3:$P$501,"=542")</f>
        <v>0</v>
      </c>
      <c r="V64" s="138">
        <f>SUMIFS('Plan rashoda za unos u SAP'!$I$3:$I$501,'Plan rashoda za unos u SAP'!$C$3:$C$501,"=71",'Plan rashoda za unos u SAP'!$M$3:$M$501,"=542")+SUMIFS('ANALITIKA EU PROJEKATA'!$G$3:$G$501,'ANALITIKA EU PROJEKATA'!$A$3:$A$501,"=71",'ANALITIKA EU PROJEKATA'!$P$3:$P$501,"=542")</f>
        <v>0</v>
      </c>
      <c r="W64" s="138">
        <f>SUMIFS('Plan rashoda za unos u SAP'!$I$3:$I$501,'Plan rashoda za unos u SAP'!$C$3:$C$501,"=81",'Plan rashoda za unos u SAP'!$M$3:$M$501,"=542")+SUMIFS('ANALITIKA EU PROJEKATA'!$G$3:$G$501,'ANALITIKA EU PROJEKATA'!$A$3:$A$501,"=81",'ANALITIKA EU PROJEKATA'!$P$3:$P$501,"=542")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356</v>
      </c>
      <c r="D65" s="78">
        <f t="shared" si="10"/>
        <v>0</v>
      </c>
      <c r="E65" s="138">
        <f>SUMIFS('Plan rashoda za unos u SAP'!$I$3:$I$501,'Plan rashoda za unos u SAP'!$C$3:$C$501,"=11",'Plan rashoda za unos u SAP'!$M$3:$M$501,"=543")+SUMIFS('ANALITIKA EU PROJEKATA'!$G$3:$G$501,'ANALITIKA EU PROJEKATA'!$A$3:$A$501,"=11",'ANALITIKA EU PROJEKATA'!$P$3:$P$501,"=543")</f>
        <v>0</v>
      </c>
      <c r="F65" s="138">
        <f>SUMIFS('Plan rashoda za unos u SAP'!$I$3:$I$501,'Plan rashoda za unos u SAP'!$C$3:$C$501,"=12",'Plan rashoda za unos u SAP'!$M$3:$M$501,"=543")+SUMIFS('ANALITIKA EU PROJEKATA'!$G$3:$G$501,'ANALITIKA EU PROJEKATA'!$A$3:$A$501,"=12",'ANALITIKA EU PROJEKATA'!$P$3:$P$501,"=543")</f>
        <v>0</v>
      </c>
      <c r="G65" s="138">
        <f>SUMIFS('Plan rashoda za unos u SAP'!$I$3:$I$501,'Plan rashoda za unos u SAP'!$C$3:$C$501,"=31",'Plan rashoda za unos u SAP'!$M$3:$M$501,"=543")+SUMIFS('ANALITIKA EU PROJEKATA'!$G$3:$G$501,'ANALITIKA EU PROJEKATA'!$A$3:$A$501,"=31",'ANALITIKA EU PROJEKATA'!$P$3:$P$501,"=543")</f>
        <v>0</v>
      </c>
      <c r="H65" s="138">
        <f>SUMIFS('Plan rashoda za unos u SAP'!$I$3:$I$501,'Plan rashoda za unos u SAP'!$C$3:$C$501,"=41",'Plan rashoda za unos u SAP'!$M$3:$M$501,"=543")+SUMIFS('ANALITIKA EU PROJEKATA'!$G$3:$G$501,'ANALITIKA EU PROJEKATA'!$A$3:$A$501,"=41",'ANALITIKA EU PROJEKATA'!$P$3:$P$501,"=543")</f>
        <v>0</v>
      </c>
      <c r="I65" s="138">
        <f>SUMIFS('Plan rashoda za unos u SAP'!$I$3:$I$501,'Plan rashoda za unos u SAP'!$C$3:$C$501,"=43",'Plan rashoda za unos u SAP'!$M$3:$M$501,"=543")+SUMIFS('ANALITIKA EU PROJEKATA'!$G$3:$G$501,'ANALITIKA EU PROJEKATA'!$A$3:$A$501,"=43",'ANALITIKA EU PROJEKATA'!$P$3:$P$501,"=543")</f>
        <v>0</v>
      </c>
      <c r="J65" s="138">
        <f>SUMIFS('Plan rashoda za unos u SAP'!$I$3:$I$501,'Plan rashoda za unos u SAP'!$C$3:$C$501,"=51",'Plan rashoda za unos u SAP'!$M$3:$M$501,"=543")+SUMIFS('ANALITIKA EU PROJEKATA'!$G$3:$G$501,'ANALITIKA EU PROJEKATA'!$A$3:$A$501,"=51",'ANALITIKA EU PROJEKATA'!$P$3:$P$501,"=543")</f>
        <v>0</v>
      </c>
      <c r="K65" s="138">
        <f>SUMIFS('Plan rashoda za unos u SAP'!$I$3:$I$501,'Plan rashoda za unos u SAP'!$C$3:$C$501,"=52",'Plan rashoda za unos u SAP'!$M$3:$M$501,"=543")+SUMIFS('ANALITIKA EU PROJEKATA'!$G$3:$G$501,'ANALITIKA EU PROJEKATA'!$A$3:$A$501,"=52",'ANALITIKA EU PROJEKATA'!$P$3:$P$501,"=543")</f>
        <v>0</v>
      </c>
      <c r="L65" s="138">
        <f>SUMIFS('Plan rashoda za unos u SAP'!$I$3:$I$501,'Plan rashoda za unos u SAP'!$C$3:$C$501,"=552",'Plan rashoda za unos u SAP'!$M$3:$M$501,"=543")+SUMIFS('ANALITIKA EU PROJEKATA'!$G$3:$G$501,'ANALITIKA EU PROJEKATA'!$A$3:$A$501,"=552",'ANALITIKA EU PROJEKATA'!$P$3:$P$501,"=543")</f>
        <v>0</v>
      </c>
      <c r="M65" s="138">
        <f>SUMIFS('Plan rashoda za unos u SAP'!$I$3:$I$501,'Plan rashoda za unos u SAP'!$C$3:$C$501,"=559",'Plan rashoda za unos u SAP'!$M$3:$M$501,"=543")+SUMIFS('ANALITIKA EU PROJEKATA'!$G$3:$G$501,'ANALITIKA EU PROJEKATA'!$A$3:$A$501,"=559",'ANALITIKA EU PROJEKATA'!$P$3:$P$501,"=543")</f>
        <v>0</v>
      </c>
      <c r="N65" s="138">
        <f>SUMIFS('Plan rashoda za unos u SAP'!$I$3:$I$501,'Plan rashoda za unos u SAP'!$C$3:$C$501,"=561",'Plan rashoda za unos u SAP'!$M$3:$M$501,"=543")+SUMIFS('ANALITIKA EU PROJEKATA'!$G$3:$G$501,'ANALITIKA EU PROJEKATA'!$A$3:$A$501,"=561",'ANALITIKA EU PROJEKATA'!$P$3:$P$501,"=543")</f>
        <v>0</v>
      </c>
      <c r="O65" s="138">
        <f>SUMIFS('Plan rashoda za unos u SAP'!$I$3:$I$501,'Plan rashoda za unos u SAP'!$C$3:$C$501,"=563",'Plan rashoda za unos u SAP'!$M$3:$M$501,"=543")+SUMIFS('ANALITIKA EU PROJEKATA'!$G$3:$G$501,'ANALITIKA EU PROJEKATA'!$A$3:$A$501,"=563",'ANALITIKA EU PROJEKATA'!$P$3:$P$501,"=543")</f>
        <v>0</v>
      </c>
      <c r="P65" s="138">
        <f>SUMIFS('Plan rashoda za unos u SAP'!$I$3:$I$501,'Plan rashoda za unos u SAP'!$C$3:$C$501,"=573",'Plan rashoda za unos u SAP'!$M$3:$M$501,"=543")+SUMIFS('ANALITIKA EU PROJEKATA'!$G$3:$G$501,'ANALITIKA EU PROJEKATA'!$A$3:$A$501,"=573",'ANALITIKA EU PROJEKATA'!$P$3:$P$501,"=543")</f>
        <v>0</v>
      </c>
      <c r="Q65" s="138">
        <f>SUMIFS('Plan rashoda za unos u SAP'!$I$3:$I$501,'Plan rashoda za unos u SAP'!$C$3:$C$501,"=575",'Plan rashoda za unos u SAP'!$M$3:$M$501,"=543")+SUMIFS('ANALITIKA EU PROJEKATA'!$G$3:$G$501,'ANALITIKA EU PROJEKATA'!$A$3:$A$501,"=575",'ANALITIKA EU PROJEKATA'!$P$3:$P$501,"=543")</f>
        <v>0</v>
      </c>
      <c r="R65" s="138">
        <f>SUMIFS('Plan rashoda za unos u SAP'!$I$3:$I$501,'Plan rashoda za unos u SAP'!$C$3:$C$501,"=576",'Plan rashoda za unos u SAP'!$M$3:$M$501,"=543")+SUMIFS('ANALITIKA EU PROJEKATA'!$G$3:$G$501,'ANALITIKA EU PROJEKATA'!$A$3:$A$501,"=576",'ANALITIKA EU PROJEKATA'!$P$3:$P$501,"=543")</f>
        <v>0</v>
      </c>
      <c r="S65" s="138">
        <f>SUMIFS('Plan rashoda za unos u SAP'!$I$3:$I$501,'Plan rashoda za unos u SAP'!$C$3:$C$501,"=581",'Plan rashoda za unos u SAP'!$M$3:$M$501,"=543")+SUMIFS('ANALITIKA EU PROJEKATA'!$G$3:$G$501,'ANALITIKA EU PROJEKATA'!$A$3:$A$501,"=581",'ANALITIKA EU PROJEKATA'!$P$3:$P$501,"=543")</f>
        <v>0</v>
      </c>
      <c r="T65" s="138">
        <f>SUMIFS('Plan rashoda za unos u SAP'!$I$3:$I$501,'Plan rashoda za unos u SAP'!$C$3:$C$501,"=61",'Plan rashoda za unos u SAP'!$M$3:$M$501,"=543")+SUMIFS('ANALITIKA EU PROJEKATA'!$G$3:$G$501,'ANALITIKA EU PROJEKATA'!$A$3:$A$501,"=61",'ANALITIKA EU PROJEKATA'!$P$3:$P$501,"=543")</f>
        <v>0</v>
      </c>
      <c r="U65" s="138">
        <f>SUMIFS('Plan rashoda za unos u SAP'!$I$3:$I$501,'Plan rashoda za unos u SAP'!$C$3:$C$501,"=63",'Plan rashoda za unos u SAP'!$M$3:$M$501,"=543")+SUMIFS('ANALITIKA EU PROJEKATA'!$G$3:$G$501,'ANALITIKA EU PROJEKATA'!$A$3:$A$501,"=63",'ANALITIKA EU PROJEKATA'!$P$3:$P$501,"=543")</f>
        <v>0</v>
      </c>
      <c r="V65" s="138">
        <f>SUMIFS('Plan rashoda za unos u SAP'!$I$3:$I$501,'Plan rashoda za unos u SAP'!$C$3:$C$501,"=71",'Plan rashoda za unos u SAP'!$M$3:$M$501,"=543")+SUMIFS('ANALITIKA EU PROJEKATA'!$G$3:$G$501,'ANALITIKA EU PROJEKATA'!$A$3:$A$501,"=71",'ANALITIKA EU PROJEKATA'!$P$3:$P$501,"=543")</f>
        <v>0</v>
      </c>
      <c r="W65" s="138">
        <f>SUMIFS('Plan rashoda za unos u SAP'!$I$3:$I$501,'Plan rashoda za unos u SAP'!$C$3:$C$501,"=81",'Plan rashoda za unos u SAP'!$M$3:$M$501,"=543")+SUMIFS('ANALITIKA EU PROJEKATA'!$G$3:$G$501,'ANALITIKA EU PROJEKATA'!$A$3:$A$501,"=81",'ANALITIKA EU PROJEKATA'!$P$3:$P$501,"=543")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357</v>
      </c>
      <c r="D66" s="78">
        <f t="shared" si="10"/>
        <v>0</v>
      </c>
      <c r="E66" s="138">
        <f>SUMIFS('Plan rashoda za unos u SAP'!$I$3:$I$501,'Plan rashoda za unos u SAP'!$C$3:$C$501,"=11",'Plan rashoda za unos u SAP'!$M$3:$M$501,"=544")+SUMIFS('ANALITIKA EU PROJEKATA'!$G$3:$G$501,'ANALITIKA EU PROJEKATA'!$A$3:$A$501,"=11",'ANALITIKA EU PROJEKATA'!$P$3:$P$501,"=544")</f>
        <v>0</v>
      </c>
      <c r="F66" s="138">
        <f>SUMIFS('Plan rashoda za unos u SAP'!$I$3:$I$501,'Plan rashoda za unos u SAP'!$C$3:$C$501,"=12",'Plan rashoda za unos u SAP'!$M$3:$M$501,"=544")+SUMIFS('ANALITIKA EU PROJEKATA'!$G$3:$G$501,'ANALITIKA EU PROJEKATA'!$A$3:$A$501,"=12",'ANALITIKA EU PROJEKATA'!$P$3:$P$501,"=544")</f>
        <v>0</v>
      </c>
      <c r="G66" s="138">
        <f>SUMIFS('Plan rashoda za unos u SAP'!$I$3:$I$501,'Plan rashoda za unos u SAP'!$C$3:$C$501,"=31",'Plan rashoda za unos u SAP'!$M$3:$M$501,"=544")+SUMIFS('ANALITIKA EU PROJEKATA'!$G$3:$G$501,'ANALITIKA EU PROJEKATA'!$A$3:$A$501,"=31",'ANALITIKA EU PROJEKATA'!$P$3:$P$501,"=544")</f>
        <v>0</v>
      </c>
      <c r="H66" s="138">
        <f>SUMIFS('Plan rashoda za unos u SAP'!$I$3:$I$501,'Plan rashoda za unos u SAP'!$C$3:$C$501,"=41",'Plan rashoda za unos u SAP'!$M$3:$M$501,"=544")+SUMIFS('ANALITIKA EU PROJEKATA'!$G$3:$G$501,'ANALITIKA EU PROJEKATA'!$A$3:$A$501,"=41",'ANALITIKA EU PROJEKATA'!$P$3:$P$501,"=544")</f>
        <v>0</v>
      </c>
      <c r="I66" s="138">
        <f>SUMIFS('Plan rashoda za unos u SAP'!$I$3:$I$501,'Plan rashoda za unos u SAP'!$C$3:$C$501,"=43",'Plan rashoda za unos u SAP'!$M$3:$M$501,"=544")+SUMIFS('ANALITIKA EU PROJEKATA'!$G$3:$G$501,'ANALITIKA EU PROJEKATA'!$A$3:$A$501,"=43",'ANALITIKA EU PROJEKATA'!$P$3:$P$501,"=544")</f>
        <v>0</v>
      </c>
      <c r="J66" s="138">
        <f>SUMIFS('Plan rashoda za unos u SAP'!$I$3:$I$501,'Plan rashoda za unos u SAP'!$C$3:$C$501,"=51",'Plan rashoda za unos u SAP'!$M$3:$M$501,"=544")+SUMIFS('ANALITIKA EU PROJEKATA'!$G$3:$G$501,'ANALITIKA EU PROJEKATA'!$A$3:$A$501,"=51",'ANALITIKA EU PROJEKATA'!$P$3:$P$501,"=544")</f>
        <v>0</v>
      </c>
      <c r="K66" s="138">
        <f>SUMIFS('Plan rashoda za unos u SAP'!$I$3:$I$501,'Plan rashoda za unos u SAP'!$C$3:$C$501,"=52",'Plan rashoda za unos u SAP'!$M$3:$M$501,"=544")+SUMIFS('ANALITIKA EU PROJEKATA'!$G$3:$G$501,'ANALITIKA EU PROJEKATA'!$A$3:$A$501,"=52",'ANALITIKA EU PROJEKATA'!$P$3:$P$501,"=544")</f>
        <v>0</v>
      </c>
      <c r="L66" s="138">
        <f>SUMIFS('Plan rashoda za unos u SAP'!$I$3:$I$501,'Plan rashoda za unos u SAP'!$C$3:$C$501,"=552",'Plan rashoda za unos u SAP'!$M$3:$M$501,"=544")+SUMIFS('ANALITIKA EU PROJEKATA'!$G$3:$G$501,'ANALITIKA EU PROJEKATA'!$A$3:$A$501,"=552",'ANALITIKA EU PROJEKATA'!$P$3:$P$501,"=544")</f>
        <v>0</v>
      </c>
      <c r="M66" s="138">
        <f>SUMIFS('Plan rashoda za unos u SAP'!$I$3:$I$501,'Plan rashoda za unos u SAP'!$C$3:$C$501,"=559",'Plan rashoda za unos u SAP'!$M$3:$M$501,"=544")+SUMIFS('ANALITIKA EU PROJEKATA'!$G$3:$G$501,'ANALITIKA EU PROJEKATA'!$A$3:$A$501,"=559",'ANALITIKA EU PROJEKATA'!$P$3:$P$501,"=544")</f>
        <v>0</v>
      </c>
      <c r="N66" s="138">
        <f>SUMIFS('Plan rashoda za unos u SAP'!$I$3:$I$501,'Plan rashoda za unos u SAP'!$C$3:$C$501,"=561",'Plan rashoda za unos u SAP'!$M$3:$M$501,"=544")+SUMIFS('ANALITIKA EU PROJEKATA'!$G$3:$G$501,'ANALITIKA EU PROJEKATA'!$A$3:$A$501,"=561",'ANALITIKA EU PROJEKATA'!$P$3:$P$501,"=544")</f>
        <v>0</v>
      </c>
      <c r="O66" s="138">
        <f>SUMIFS('Plan rashoda za unos u SAP'!$I$3:$I$501,'Plan rashoda za unos u SAP'!$C$3:$C$501,"=563",'Plan rashoda za unos u SAP'!$M$3:$M$501,"=544")+SUMIFS('ANALITIKA EU PROJEKATA'!$G$3:$G$501,'ANALITIKA EU PROJEKATA'!$A$3:$A$501,"=563",'ANALITIKA EU PROJEKATA'!$P$3:$P$501,"=544")</f>
        <v>0</v>
      </c>
      <c r="P66" s="138">
        <f>SUMIFS('Plan rashoda za unos u SAP'!$I$3:$I$501,'Plan rashoda za unos u SAP'!$C$3:$C$501,"=573",'Plan rashoda za unos u SAP'!$M$3:$M$501,"=544")+SUMIFS('ANALITIKA EU PROJEKATA'!$G$3:$G$501,'ANALITIKA EU PROJEKATA'!$A$3:$A$501,"=573",'ANALITIKA EU PROJEKATA'!$P$3:$P$501,"=544")</f>
        <v>0</v>
      </c>
      <c r="Q66" s="138">
        <f>SUMIFS('Plan rashoda za unos u SAP'!$I$3:$I$501,'Plan rashoda za unos u SAP'!$C$3:$C$501,"=575",'Plan rashoda za unos u SAP'!$M$3:$M$501,"=544")+SUMIFS('ANALITIKA EU PROJEKATA'!$G$3:$G$501,'ANALITIKA EU PROJEKATA'!$A$3:$A$501,"=575",'ANALITIKA EU PROJEKATA'!$P$3:$P$501,"=544")</f>
        <v>0</v>
      </c>
      <c r="R66" s="138">
        <f>SUMIFS('Plan rashoda za unos u SAP'!$I$3:$I$501,'Plan rashoda za unos u SAP'!$C$3:$C$501,"=576",'Plan rashoda za unos u SAP'!$M$3:$M$501,"=544")+SUMIFS('ANALITIKA EU PROJEKATA'!$G$3:$G$501,'ANALITIKA EU PROJEKATA'!$A$3:$A$501,"=576",'ANALITIKA EU PROJEKATA'!$P$3:$P$501,"=544")</f>
        <v>0</v>
      </c>
      <c r="S66" s="138">
        <f>SUMIFS('Plan rashoda za unos u SAP'!$I$3:$I$501,'Plan rashoda za unos u SAP'!$C$3:$C$501,"=581",'Plan rashoda za unos u SAP'!$M$3:$M$501,"=544")+SUMIFS('ANALITIKA EU PROJEKATA'!$G$3:$G$501,'ANALITIKA EU PROJEKATA'!$A$3:$A$501,"=581",'ANALITIKA EU PROJEKATA'!$P$3:$P$501,"=544")</f>
        <v>0</v>
      </c>
      <c r="T66" s="138">
        <f>SUMIFS('Plan rashoda za unos u SAP'!$I$3:$I$501,'Plan rashoda za unos u SAP'!$C$3:$C$501,"=61",'Plan rashoda za unos u SAP'!$M$3:$M$501,"=544")+SUMIFS('ANALITIKA EU PROJEKATA'!$G$3:$G$501,'ANALITIKA EU PROJEKATA'!$A$3:$A$501,"=61",'ANALITIKA EU PROJEKATA'!$P$3:$P$501,"=544")</f>
        <v>0</v>
      </c>
      <c r="U66" s="138">
        <f>SUMIFS('Plan rashoda za unos u SAP'!$I$3:$I$501,'Plan rashoda za unos u SAP'!$C$3:$C$501,"=63",'Plan rashoda za unos u SAP'!$M$3:$M$501,"=544")+SUMIFS('ANALITIKA EU PROJEKATA'!$G$3:$G$501,'ANALITIKA EU PROJEKATA'!$A$3:$A$501,"=63",'ANALITIKA EU PROJEKATA'!$P$3:$P$501,"=544")</f>
        <v>0</v>
      </c>
      <c r="V66" s="138">
        <f>SUMIFS('Plan rashoda za unos u SAP'!$I$3:$I$501,'Plan rashoda za unos u SAP'!$C$3:$C$501,"=71",'Plan rashoda za unos u SAP'!$M$3:$M$501,"=544")+SUMIFS('ANALITIKA EU PROJEKATA'!$G$3:$G$501,'ANALITIKA EU PROJEKATA'!$A$3:$A$501,"=71",'ANALITIKA EU PROJEKATA'!$P$3:$P$501,"=544")</f>
        <v>0</v>
      </c>
      <c r="W66" s="138">
        <f>SUMIFS('Plan rashoda za unos u SAP'!$I$3:$I$501,'Plan rashoda za unos u SAP'!$C$3:$C$501,"=81",'Plan rashoda za unos u SAP'!$M$3:$M$501,"=544")+SUMIFS('ANALITIKA EU PROJEKATA'!$G$3:$G$501,'ANALITIKA EU PROJEKATA'!$A$3:$A$501,"=81",'ANALITIKA EU PROJEKATA'!$P$3:$P$501,"=544")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358</v>
      </c>
      <c r="D67" s="78">
        <f t="shared" ref="D67:D68" si="21">SUM(E67:W67)</f>
        <v>0</v>
      </c>
      <c r="E67" s="138">
        <f>SUMIFS('Plan rashoda za unos u SAP'!$I$3:$I$501,'Plan rashoda za unos u SAP'!$C$3:$C$501,"=11",'Plan rashoda za unos u SAP'!$M$3:$M$501,"=545")+SUMIFS('ANALITIKA EU PROJEKATA'!$G$3:$G$501,'ANALITIKA EU PROJEKATA'!$A$3:$A$501,"=11",'ANALITIKA EU PROJEKATA'!$P$3:$P$501,"=545")</f>
        <v>0</v>
      </c>
      <c r="F67" s="138">
        <f>SUMIFS('Plan rashoda za unos u SAP'!$I$3:$I$501,'Plan rashoda za unos u SAP'!$C$3:$C$501,"=12",'Plan rashoda za unos u SAP'!$M$3:$M$501,"=545")+SUMIFS('ANALITIKA EU PROJEKATA'!$G$3:$G$501,'ANALITIKA EU PROJEKATA'!$A$3:$A$501,"=12",'ANALITIKA EU PROJEKATA'!$P$3:$P$501,"=545")</f>
        <v>0</v>
      </c>
      <c r="G67" s="138">
        <f>SUMIFS('Plan rashoda za unos u SAP'!$I$3:$I$501,'Plan rashoda za unos u SAP'!$C$3:$C$501,"=31",'Plan rashoda za unos u SAP'!$M$3:$M$501,"=545")+SUMIFS('ANALITIKA EU PROJEKATA'!$G$3:$G$501,'ANALITIKA EU PROJEKATA'!$A$3:$A$501,"=31",'ANALITIKA EU PROJEKATA'!$P$3:$P$501,"=545")</f>
        <v>0</v>
      </c>
      <c r="H67" s="138">
        <f>SUMIFS('Plan rashoda za unos u SAP'!$I$3:$I$501,'Plan rashoda za unos u SAP'!$C$3:$C$501,"=41",'Plan rashoda za unos u SAP'!$M$3:$M$501,"=545")+SUMIFS('ANALITIKA EU PROJEKATA'!$G$3:$G$501,'ANALITIKA EU PROJEKATA'!$A$3:$A$501,"=41",'ANALITIKA EU PROJEKATA'!$P$3:$P$501,"=545")</f>
        <v>0</v>
      </c>
      <c r="I67" s="138">
        <f>SUMIFS('Plan rashoda za unos u SAP'!$I$3:$I$501,'Plan rashoda za unos u SAP'!$C$3:$C$501,"=43",'Plan rashoda za unos u SAP'!$M$3:$M$501,"=545")+SUMIFS('ANALITIKA EU PROJEKATA'!$G$3:$G$501,'ANALITIKA EU PROJEKATA'!$A$3:$A$501,"=43",'ANALITIKA EU PROJEKATA'!$P$3:$P$501,"=545")</f>
        <v>0</v>
      </c>
      <c r="J67" s="138">
        <f>SUMIFS('Plan rashoda za unos u SAP'!$I$3:$I$501,'Plan rashoda za unos u SAP'!$C$3:$C$501,"=51",'Plan rashoda za unos u SAP'!$M$3:$M$501,"=545")+SUMIFS('ANALITIKA EU PROJEKATA'!$G$3:$G$501,'ANALITIKA EU PROJEKATA'!$A$3:$A$501,"=51",'ANALITIKA EU PROJEKATA'!$P$3:$P$501,"=545")</f>
        <v>0</v>
      </c>
      <c r="K67" s="138">
        <f>SUMIFS('Plan rashoda za unos u SAP'!$I$3:$I$501,'Plan rashoda za unos u SAP'!$C$3:$C$501,"=52",'Plan rashoda za unos u SAP'!$M$3:$M$501,"=545")+SUMIFS('ANALITIKA EU PROJEKATA'!$G$3:$G$501,'ANALITIKA EU PROJEKATA'!$A$3:$A$501,"=52",'ANALITIKA EU PROJEKATA'!$P$3:$P$501,"=545")</f>
        <v>0</v>
      </c>
      <c r="L67" s="138">
        <f>SUMIFS('Plan rashoda za unos u SAP'!$I$3:$I$501,'Plan rashoda za unos u SAP'!$C$3:$C$501,"=552",'Plan rashoda za unos u SAP'!$M$3:$M$501,"=545")+SUMIFS('ANALITIKA EU PROJEKATA'!$G$3:$G$501,'ANALITIKA EU PROJEKATA'!$A$3:$A$501,"=552",'ANALITIKA EU PROJEKATA'!$P$3:$P$501,"=545")</f>
        <v>0</v>
      </c>
      <c r="M67" s="138">
        <f>SUMIFS('Plan rashoda za unos u SAP'!$I$3:$I$501,'Plan rashoda za unos u SAP'!$C$3:$C$501,"=559",'Plan rashoda za unos u SAP'!$M$3:$M$501,"=545")+SUMIFS('ANALITIKA EU PROJEKATA'!$G$3:$G$501,'ANALITIKA EU PROJEKATA'!$A$3:$A$501,"=559",'ANALITIKA EU PROJEKATA'!$P$3:$P$501,"=545")</f>
        <v>0</v>
      </c>
      <c r="N67" s="138">
        <f>SUMIFS('Plan rashoda za unos u SAP'!$I$3:$I$501,'Plan rashoda za unos u SAP'!$C$3:$C$501,"=561",'Plan rashoda za unos u SAP'!$M$3:$M$501,"=545")+SUMIFS('ANALITIKA EU PROJEKATA'!$G$3:$G$501,'ANALITIKA EU PROJEKATA'!$A$3:$A$501,"=561",'ANALITIKA EU PROJEKATA'!$P$3:$P$501,"=545")</f>
        <v>0</v>
      </c>
      <c r="O67" s="138">
        <f>SUMIFS('Plan rashoda za unos u SAP'!$I$3:$I$501,'Plan rashoda za unos u SAP'!$C$3:$C$501,"=563",'Plan rashoda za unos u SAP'!$M$3:$M$501,"=545")+SUMIFS('ANALITIKA EU PROJEKATA'!$G$3:$G$501,'ANALITIKA EU PROJEKATA'!$A$3:$A$501,"=563",'ANALITIKA EU PROJEKATA'!$P$3:$P$501,"=545")</f>
        <v>0</v>
      </c>
      <c r="P67" s="138">
        <f>SUMIFS('Plan rashoda za unos u SAP'!$I$3:$I$501,'Plan rashoda za unos u SAP'!$C$3:$C$501,"=573",'Plan rashoda za unos u SAP'!$M$3:$M$501,"=545")+SUMIFS('ANALITIKA EU PROJEKATA'!$G$3:$G$501,'ANALITIKA EU PROJEKATA'!$A$3:$A$501,"=573",'ANALITIKA EU PROJEKATA'!$P$3:$P$501,"=545")</f>
        <v>0</v>
      </c>
      <c r="Q67" s="138">
        <f>SUMIFS('Plan rashoda za unos u SAP'!$I$3:$I$501,'Plan rashoda za unos u SAP'!$C$3:$C$501,"=575",'Plan rashoda za unos u SAP'!$M$3:$M$501,"=545")+SUMIFS('ANALITIKA EU PROJEKATA'!$G$3:$G$501,'ANALITIKA EU PROJEKATA'!$A$3:$A$501,"=575",'ANALITIKA EU PROJEKATA'!$P$3:$P$501,"=545")</f>
        <v>0</v>
      </c>
      <c r="R67" s="138">
        <f>SUMIFS('Plan rashoda za unos u SAP'!$I$3:$I$501,'Plan rashoda za unos u SAP'!$C$3:$C$501,"=576",'Plan rashoda za unos u SAP'!$M$3:$M$501,"=545")+SUMIFS('ANALITIKA EU PROJEKATA'!$G$3:$G$501,'ANALITIKA EU PROJEKATA'!$A$3:$A$501,"=576",'ANALITIKA EU PROJEKATA'!$P$3:$P$501,"=545")</f>
        <v>0</v>
      </c>
      <c r="S67" s="138">
        <f>SUMIFS('Plan rashoda za unos u SAP'!$I$3:$I$501,'Plan rashoda za unos u SAP'!$C$3:$C$501,"=581",'Plan rashoda za unos u SAP'!$M$3:$M$501,"=545")+SUMIFS('ANALITIKA EU PROJEKATA'!$G$3:$G$501,'ANALITIKA EU PROJEKATA'!$A$3:$A$501,"=581",'ANALITIKA EU PROJEKATA'!$P$3:$P$501,"=545")</f>
        <v>0</v>
      </c>
      <c r="T67" s="138">
        <f>SUMIFS('Plan rashoda za unos u SAP'!$I$3:$I$501,'Plan rashoda za unos u SAP'!$C$3:$C$501,"=61",'Plan rashoda za unos u SAP'!$M$3:$M$501,"=545")+SUMIFS('ANALITIKA EU PROJEKATA'!$G$3:$G$501,'ANALITIKA EU PROJEKATA'!$A$3:$A$501,"=61",'ANALITIKA EU PROJEKATA'!$P$3:$P$501,"=545")</f>
        <v>0</v>
      </c>
      <c r="U67" s="138">
        <f>SUMIFS('Plan rashoda za unos u SAP'!$I$3:$I$501,'Plan rashoda za unos u SAP'!$C$3:$C$501,"=63",'Plan rashoda za unos u SAP'!$M$3:$M$501,"=545")+SUMIFS('ANALITIKA EU PROJEKATA'!$G$3:$G$501,'ANALITIKA EU PROJEKATA'!$A$3:$A$501,"=63",'ANALITIKA EU PROJEKATA'!$P$3:$P$501,"=545")</f>
        <v>0</v>
      </c>
      <c r="V67" s="138">
        <f>SUMIFS('Plan rashoda za unos u SAP'!$I$3:$I$501,'Plan rashoda za unos u SAP'!$C$3:$C$501,"=71",'Plan rashoda za unos u SAP'!$M$3:$M$501,"=545")+SUMIFS('ANALITIKA EU PROJEKATA'!$G$3:$G$501,'ANALITIKA EU PROJEKATA'!$A$3:$A$501,"=71",'ANALITIKA EU PROJEKATA'!$P$3:$P$501,"=545")</f>
        <v>0</v>
      </c>
      <c r="W67" s="138">
        <f>SUMIFS('Plan rashoda za unos u SAP'!$I$3:$I$501,'Plan rashoda za unos u SAP'!$C$3:$C$501,"=81",'Plan rashoda za unos u SAP'!$M$3:$M$501,"=545")+SUMIFS('ANALITIKA EU PROJEKATA'!$G$3:$G$501,'ANALITIKA EU PROJEKATA'!$A$3:$A$501,"=81",'ANALITIKA EU PROJEKATA'!$P$3:$P$501,"=545")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359</v>
      </c>
      <c r="D68" s="78">
        <f t="shared" si="21"/>
        <v>0</v>
      </c>
      <c r="E68" s="138">
        <f>SUMIFS('Plan rashoda za unos u SAP'!$I$3:$I$501,'Plan rashoda za unos u SAP'!$C$3:$C$501,"=11",'Plan rashoda za unos u SAP'!$M$3:$M$501,"=547")+SUMIFS('ANALITIKA EU PROJEKATA'!$G$3:$G$501,'ANALITIKA EU PROJEKATA'!$A$3:$A$501,"=11",'ANALITIKA EU PROJEKATA'!$P$3:$P$501,"=547")</f>
        <v>0</v>
      </c>
      <c r="F68" s="138">
        <f>SUMIFS('Plan rashoda za unos u SAP'!$I$3:$I$501,'Plan rashoda za unos u SAP'!$C$3:$C$501,"=12",'Plan rashoda za unos u SAP'!$M$3:$M$501,"=547")+SUMIFS('ANALITIKA EU PROJEKATA'!$G$3:$G$501,'ANALITIKA EU PROJEKATA'!$A$3:$A$501,"=12",'ANALITIKA EU PROJEKATA'!$P$3:$P$501,"=547")</f>
        <v>0</v>
      </c>
      <c r="G68" s="138">
        <f>SUMIFS('Plan rashoda za unos u SAP'!$I$3:$I$501,'Plan rashoda za unos u SAP'!$C$3:$C$501,"=31",'Plan rashoda za unos u SAP'!$M$3:$M$501,"=547")+SUMIFS('ANALITIKA EU PROJEKATA'!$G$3:$G$501,'ANALITIKA EU PROJEKATA'!$A$3:$A$501,"=31",'ANALITIKA EU PROJEKATA'!$P$3:$P$501,"=547")</f>
        <v>0</v>
      </c>
      <c r="H68" s="138">
        <f>SUMIFS('Plan rashoda za unos u SAP'!$I$3:$I$501,'Plan rashoda za unos u SAP'!$C$3:$C$501,"=41",'Plan rashoda za unos u SAP'!$M$3:$M$501,"=547")+SUMIFS('ANALITIKA EU PROJEKATA'!$G$3:$G$501,'ANALITIKA EU PROJEKATA'!$A$3:$A$501,"=41",'ANALITIKA EU PROJEKATA'!$P$3:$P$501,"=547")</f>
        <v>0</v>
      </c>
      <c r="I68" s="138">
        <f>SUMIFS('Plan rashoda za unos u SAP'!$I$3:$I$501,'Plan rashoda za unos u SAP'!$C$3:$C$501,"=43",'Plan rashoda za unos u SAP'!$M$3:$M$501,"=547")+SUMIFS('ANALITIKA EU PROJEKATA'!$G$3:$G$501,'ANALITIKA EU PROJEKATA'!$A$3:$A$501,"=43",'ANALITIKA EU PROJEKATA'!$P$3:$P$501,"=547")</f>
        <v>0</v>
      </c>
      <c r="J68" s="138">
        <f>SUMIFS('Plan rashoda za unos u SAP'!$I$3:$I$501,'Plan rashoda za unos u SAP'!$C$3:$C$501,"=51",'Plan rashoda za unos u SAP'!$M$3:$M$501,"=547")+SUMIFS('ANALITIKA EU PROJEKATA'!$G$3:$G$501,'ANALITIKA EU PROJEKATA'!$A$3:$A$501,"=51",'ANALITIKA EU PROJEKATA'!$P$3:$P$501,"=547")</f>
        <v>0</v>
      </c>
      <c r="K68" s="138">
        <f>SUMIFS('Plan rashoda za unos u SAP'!$I$3:$I$501,'Plan rashoda za unos u SAP'!$C$3:$C$501,"=52",'Plan rashoda za unos u SAP'!$M$3:$M$501,"=547")+SUMIFS('ANALITIKA EU PROJEKATA'!$G$3:$G$501,'ANALITIKA EU PROJEKATA'!$A$3:$A$501,"=52",'ANALITIKA EU PROJEKATA'!$P$3:$P$501,"=547")</f>
        <v>0</v>
      </c>
      <c r="L68" s="138">
        <f>SUMIFS('Plan rashoda za unos u SAP'!$I$3:$I$501,'Plan rashoda za unos u SAP'!$C$3:$C$501,"=552",'Plan rashoda za unos u SAP'!$M$3:$M$501,"=547")+SUMIFS('ANALITIKA EU PROJEKATA'!$G$3:$G$501,'ANALITIKA EU PROJEKATA'!$A$3:$A$501,"=552",'ANALITIKA EU PROJEKATA'!$P$3:$P$501,"=547")</f>
        <v>0</v>
      </c>
      <c r="M68" s="138">
        <f>SUMIFS('Plan rashoda za unos u SAP'!$I$3:$I$501,'Plan rashoda za unos u SAP'!$C$3:$C$501,"=559",'Plan rashoda za unos u SAP'!$M$3:$M$501,"=547")+SUMIFS('ANALITIKA EU PROJEKATA'!$G$3:$G$501,'ANALITIKA EU PROJEKATA'!$A$3:$A$501,"=559",'ANALITIKA EU PROJEKATA'!$P$3:$P$501,"=547")</f>
        <v>0</v>
      </c>
      <c r="N68" s="138">
        <f>SUMIFS('Plan rashoda za unos u SAP'!$I$3:$I$501,'Plan rashoda za unos u SAP'!$C$3:$C$501,"=561",'Plan rashoda za unos u SAP'!$M$3:$M$501,"=547")+SUMIFS('ANALITIKA EU PROJEKATA'!$G$3:$G$501,'ANALITIKA EU PROJEKATA'!$A$3:$A$501,"=561",'ANALITIKA EU PROJEKATA'!$P$3:$P$501,"=547")</f>
        <v>0</v>
      </c>
      <c r="O68" s="138">
        <f>SUMIFS('Plan rashoda za unos u SAP'!$I$3:$I$501,'Plan rashoda za unos u SAP'!$C$3:$C$501,"=563",'Plan rashoda za unos u SAP'!$M$3:$M$501,"=547")+SUMIFS('ANALITIKA EU PROJEKATA'!$G$3:$G$501,'ANALITIKA EU PROJEKATA'!$A$3:$A$501,"=563",'ANALITIKA EU PROJEKATA'!$P$3:$P$501,"=547")</f>
        <v>0</v>
      </c>
      <c r="P68" s="138">
        <f>SUMIFS('Plan rashoda za unos u SAP'!$I$3:$I$501,'Plan rashoda za unos u SAP'!$C$3:$C$501,"=573",'Plan rashoda za unos u SAP'!$M$3:$M$501,"=547")+SUMIFS('ANALITIKA EU PROJEKATA'!$G$3:$G$501,'ANALITIKA EU PROJEKATA'!$A$3:$A$501,"=573",'ANALITIKA EU PROJEKATA'!$P$3:$P$501,"=547")</f>
        <v>0</v>
      </c>
      <c r="Q68" s="138">
        <f>SUMIFS('Plan rashoda za unos u SAP'!$I$3:$I$501,'Plan rashoda za unos u SAP'!$C$3:$C$501,"=575",'Plan rashoda za unos u SAP'!$M$3:$M$501,"=547")+SUMIFS('ANALITIKA EU PROJEKATA'!$G$3:$G$501,'ANALITIKA EU PROJEKATA'!$A$3:$A$501,"=575",'ANALITIKA EU PROJEKATA'!$P$3:$P$501,"=547")</f>
        <v>0</v>
      </c>
      <c r="R68" s="138">
        <f>SUMIFS('Plan rashoda za unos u SAP'!$I$3:$I$501,'Plan rashoda za unos u SAP'!$C$3:$C$501,"=576",'Plan rashoda za unos u SAP'!$M$3:$M$501,"=547")+SUMIFS('ANALITIKA EU PROJEKATA'!$G$3:$G$501,'ANALITIKA EU PROJEKATA'!$A$3:$A$501,"=576",'ANALITIKA EU PROJEKATA'!$P$3:$P$501,"=547")</f>
        <v>0</v>
      </c>
      <c r="S68" s="138">
        <f>SUMIFS('Plan rashoda za unos u SAP'!$I$3:$I$501,'Plan rashoda za unos u SAP'!$C$3:$C$501,"=581",'Plan rashoda za unos u SAP'!$M$3:$M$501,"=547")+SUMIFS('ANALITIKA EU PROJEKATA'!$G$3:$G$501,'ANALITIKA EU PROJEKATA'!$A$3:$A$501,"=581",'ANALITIKA EU PROJEKATA'!$P$3:$P$501,"=547")</f>
        <v>0</v>
      </c>
      <c r="T68" s="138">
        <f>SUMIFS('Plan rashoda za unos u SAP'!$I$3:$I$501,'Plan rashoda za unos u SAP'!$C$3:$C$501,"=61",'Plan rashoda za unos u SAP'!$M$3:$M$501,"=547")+SUMIFS('ANALITIKA EU PROJEKATA'!$G$3:$G$501,'ANALITIKA EU PROJEKATA'!$A$3:$A$501,"=61",'ANALITIKA EU PROJEKATA'!$P$3:$P$501,"=547")</f>
        <v>0</v>
      </c>
      <c r="U68" s="138">
        <f>SUMIFS('Plan rashoda za unos u SAP'!$I$3:$I$501,'Plan rashoda za unos u SAP'!$C$3:$C$501,"=63",'Plan rashoda za unos u SAP'!$M$3:$M$501,"=547")+SUMIFS('ANALITIKA EU PROJEKATA'!$G$3:$G$501,'ANALITIKA EU PROJEKATA'!$A$3:$A$501,"=63",'ANALITIKA EU PROJEKATA'!$P$3:$P$501,"=547")</f>
        <v>0</v>
      </c>
      <c r="V68" s="138">
        <f>SUMIFS('Plan rashoda za unos u SAP'!$I$3:$I$501,'Plan rashoda za unos u SAP'!$C$3:$C$501,"=71",'Plan rashoda za unos u SAP'!$M$3:$M$501,"=547")+SUMIFS('ANALITIKA EU PROJEKATA'!$G$3:$G$501,'ANALITIKA EU PROJEKATA'!$A$3:$A$501,"=71",'ANALITIKA EU PROJEKATA'!$P$3:$P$501,"=547")</f>
        <v>0</v>
      </c>
      <c r="W68" s="138">
        <f>SUMIFS('Plan rashoda za unos u SAP'!$I$3:$I$501,'Plan rashoda za unos u SAP'!$C$3:$C$501,"=81",'Plan rashoda za unos u SAP'!$M$3:$M$501,"=547")+SUMIFS('ANALITIKA EU PROJEKATA'!$G$3:$G$501,'ANALITIKA EU PROJEKATA'!$A$3:$A$501,"=81",'ANALITIKA EU PROJEKATA'!$P$3:$P$501,"=547")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1913</v>
      </c>
      <c r="B70" s="93" t="s">
        <v>199</v>
      </c>
      <c r="C70" s="93" t="s">
        <v>200</v>
      </c>
      <c r="D70" s="2" t="s">
        <v>3495</v>
      </c>
      <c r="E70" s="2" t="s">
        <v>40</v>
      </c>
      <c r="F70" s="2" t="s">
        <v>318</v>
      </c>
      <c r="G70" s="93" t="s">
        <v>19</v>
      </c>
      <c r="H70" s="93" t="s">
        <v>1374</v>
      </c>
      <c r="I70" s="93" t="s">
        <v>20</v>
      </c>
      <c r="J70" s="93" t="s">
        <v>267</v>
      </c>
      <c r="K70" s="93" t="s">
        <v>268</v>
      </c>
      <c r="L70" s="93" t="s">
        <v>1375</v>
      </c>
      <c r="M70" s="93" t="s">
        <v>269</v>
      </c>
      <c r="N70" s="93" t="s">
        <v>270</v>
      </c>
      <c r="O70" s="93" t="s">
        <v>271</v>
      </c>
      <c r="P70" s="93" t="s">
        <v>1376</v>
      </c>
      <c r="Q70" s="93" t="s">
        <v>1377</v>
      </c>
      <c r="R70" s="93" t="s">
        <v>1909</v>
      </c>
      <c r="S70" s="93" t="s">
        <v>3493</v>
      </c>
      <c r="T70" s="93" t="s">
        <v>272</v>
      </c>
      <c r="U70" s="93" t="s">
        <v>273</v>
      </c>
      <c r="V70" s="93" t="s">
        <v>1351</v>
      </c>
      <c r="W70" s="93" t="s">
        <v>1350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349</v>
      </c>
      <c r="D71" s="120">
        <f t="shared" ref="D71:D88" si="22">SUM(E71:W71)</f>
        <v>35482629</v>
      </c>
      <c r="E71" s="121">
        <f t="shared" ref="E71:W71" si="23">+E72+E80+E86</f>
        <v>19803159</v>
      </c>
      <c r="F71" s="121">
        <f t="shared" si="23"/>
        <v>0</v>
      </c>
      <c r="G71" s="121">
        <f t="shared" si="23"/>
        <v>754000</v>
      </c>
      <c r="H71" s="121">
        <f>+H72+H80+H86</f>
        <v>0</v>
      </c>
      <c r="I71" s="121">
        <f t="shared" si="23"/>
        <v>14010494</v>
      </c>
      <c r="J71" s="121">
        <f t="shared" si="23"/>
        <v>105000</v>
      </c>
      <c r="K71" s="121">
        <f t="shared" si="23"/>
        <v>629476</v>
      </c>
      <c r="L71" s="121">
        <f>+L72+L80+L86</f>
        <v>0</v>
      </c>
      <c r="M71" s="121">
        <f t="shared" si="23"/>
        <v>0</v>
      </c>
      <c r="N71" s="121">
        <f t="shared" si="23"/>
        <v>0</v>
      </c>
      <c r="O71" s="121">
        <f t="shared" si="23"/>
        <v>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>+S72+S80+S86</f>
        <v>0</v>
      </c>
      <c r="T71" s="121">
        <f t="shared" si="23"/>
        <v>180500</v>
      </c>
      <c r="U71" s="121">
        <f t="shared" si="23"/>
        <v>0</v>
      </c>
      <c r="V71" s="121">
        <f t="shared" si="23"/>
        <v>0</v>
      </c>
      <c r="W71" s="121">
        <f t="shared" si="23"/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201</v>
      </c>
      <c r="D72" s="124">
        <f t="shared" si="22"/>
        <v>32464629</v>
      </c>
      <c r="E72" s="130">
        <f t="shared" ref="E72:W72" si="24">SUM(E73:E79)</f>
        <v>19635159</v>
      </c>
      <c r="F72" s="130">
        <f t="shared" si="24"/>
        <v>0</v>
      </c>
      <c r="G72" s="130">
        <f t="shared" si="24"/>
        <v>546000</v>
      </c>
      <c r="H72" s="130">
        <f>SUM(H73:H79)</f>
        <v>0</v>
      </c>
      <c r="I72" s="130">
        <f t="shared" si="24"/>
        <v>11513994</v>
      </c>
      <c r="J72" s="130">
        <f t="shared" si="24"/>
        <v>105000</v>
      </c>
      <c r="K72" s="130">
        <f t="shared" si="24"/>
        <v>483976</v>
      </c>
      <c r="L72" s="130">
        <f>SUM(L73:L79)</f>
        <v>0</v>
      </c>
      <c r="M72" s="130">
        <f t="shared" si="24"/>
        <v>0</v>
      </c>
      <c r="N72" s="130">
        <f t="shared" si="24"/>
        <v>0</v>
      </c>
      <c r="O72" s="130">
        <f t="shared" si="24"/>
        <v>0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>SUM(S73:S79)</f>
        <v>0</v>
      </c>
      <c r="T72" s="130">
        <f t="shared" si="24"/>
        <v>180500</v>
      </c>
      <c r="U72" s="130">
        <f t="shared" si="24"/>
        <v>0</v>
      </c>
      <c r="V72" s="130">
        <f t="shared" si="24"/>
        <v>0</v>
      </c>
      <c r="W72" s="130">
        <f t="shared" si="24"/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202</v>
      </c>
      <c r="D73" s="132">
        <f t="shared" si="22"/>
        <v>27412299</v>
      </c>
      <c r="E73" s="138">
        <f>SUMIFS('Plan rashoda za unos u SAP'!$J$3:$J$501,'Plan rashoda za unos u SAP'!$C$3:$C$501,"=11",'Plan rashoda za unos u SAP'!$N$3:$N$501,"=31")+SUMIFS('ANALITIKA EU PROJEKATA'!$H$3:$H$501,'ANALITIKA EU PROJEKATA'!$A$3:$A$501,"=11",'ANALITIKA EU PROJEKATA'!$Q$3:$Q$501,"=31")</f>
        <v>18386075</v>
      </c>
      <c r="F73" s="138">
        <f>SUMIFS('Plan rashoda za unos u SAP'!$J$3:$J$501,'Plan rashoda za unos u SAP'!$C$3:$C$501,"=12",'Plan rashoda za unos u SAP'!$N$3:$N$501,"=31")+SUMIFS('ANALITIKA EU PROJEKATA'!$H$3:$H$501,'ANALITIKA EU PROJEKATA'!$A$3:$A$501,"=12",'ANALITIKA EU PROJEKATA'!$Q$3:$Q$501,"=31")</f>
        <v>0</v>
      </c>
      <c r="G73" s="138">
        <f>SUMIFS('Plan rashoda za unos u SAP'!$J$3:$J$501,'Plan rashoda za unos u SAP'!$C$3:$C$501,"=31",'Plan rashoda za unos u SAP'!$N$3:$N$501,"=31")+SUMIFS('ANALITIKA EU PROJEKATA'!$H$3:$H$501,'ANALITIKA EU PROJEKATA'!$A$3:$A$501,"=31",'ANALITIKA EU PROJEKATA'!$Q$3:$Q$501,"=31")</f>
        <v>252000</v>
      </c>
      <c r="H73" s="138">
        <f>SUMIFS('Plan rashoda za unos u SAP'!$J$3:$J$501,'Plan rashoda za unos u SAP'!$C$3:$C$501,"=41",'Plan rashoda za unos u SAP'!$N$3:$N$501,"=31")+SUMIFS('ANALITIKA EU PROJEKATA'!$H$3:$H$501,'ANALITIKA EU PROJEKATA'!$A$3:$A$501,"=41",'ANALITIKA EU PROJEKATA'!$Q$3:$Q$501,"=31")</f>
        <v>0</v>
      </c>
      <c r="I73" s="138">
        <f>SUMIFS('Plan rashoda za unos u SAP'!$J$3:$J$501,'Plan rashoda za unos u SAP'!$C$3:$C$501,"=43",'Plan rashoda za unos u SAP'!$N$3:$N$501,"=31")+SUMIFS('ANALITIKA EU PROJEKATA'!$H$3:$H$501,'ANALITIKA EU PROJEKATA'!$A$3:$A$501,"=43",'ANALITIKA EU PROJEKATA'!$Q$3:$Q$501,"=31")</f>
        <v>8477224</v>
      </c>
      <c r="J73" s="138">
        <f>SUMIFS('Plan rashoda za unos u SAP'!$J$3:$J$501,'Plan rashoda za unos u SAP'!$C$3:$C$501,"=51",'Plan rashoda za unos u SAP'!$N$3:$N$501,"=31")+SUMIFS('ANALITIKA EU PROJEKATA'!$H$3:$H$501,'ANALITIKA EU PROJEKATA'!$A$3:$A$501,"=51",'ANALITIKA EU PROJEKATA'!$Q$3:$Q$501,"=31")</f>
        <v>0</v>
      </c>
      <c r="K73" s="138">
        <f>SUMIFS('Plan rashoda za unos u SAP'!$J$3:$J$501,'Plan rashoda za unos u SAP'!$C$3:$C$501,"=52",'Plan rashoda za unos u SAP'!$N$3:$N$501,"=31")+SUMIFS('ANALITIKA EU PROJEKATA'!$H$3:$H$501,'ANALITIKA EU PROJEKATA'!$A$3:$A$501,"=52",'ANALITIKA EU PROJEKATA'!$Q$3:$Q$501,"=31")</f>
        <v>140000</v>
      </c>
      <c r="L73" s="138">
        <f>SUMIFS('Plan rashoda za unos u SAP'!$J$3:$J$501,'Plan rashoda za unos u SAP'!$C$3:$C$501,"=552",'Plan rashoda za unos u SAP'!$N$3:$N$501,"=31")+SUMIFS('ANALITIKA EU PROJEKATA'!$H$3:$H$501,'ANALITIKA EU PROJEKATA'!$A$3:$A$501,"=552",'ANALITIKA EU PROJEKATA'!$Q$3:$Q$501,"=31")</f>
        <v>0</v>
      </c>
      <c r="M73" s="138">
        <f>SUMIFS('Plan rashoda za unos u SAP'!$J$3:$J$501,'Plan rashoda za unos u SAP'!$C$3:$C$501,"=559",'Plan rashoda za unos u SAP'!$N$3:$N$501,"=31")+SUMIFS('ANALITIKA EU PROJEKATA'!$H$3:$H$501,'ANALITIKA EU PROJEKATA'!$A$3:$A$501,"=559",'ANALITIKA EU PROJEKATA'!$Q$3:$Q$501,"=31")</f>
        <v>0</v>
      </c>
      <c r="N73" s="138">
        <f>SUMIFS('Plan rashoda za unos u SAP'!$J$3:$J$501,'Plan rashoda za unos u SAP'!$C$3:$C$501,"=561",'Plan rashoda za unos u SAP'!$N$3:$N$501,"=31")+SUMIFS('ANALITIKA EU PROJEKATA'!$H$3:$H$501,'ANALITIKA EU PROJEKATA'!$A$3:$A$501,"=561",'ANALITIKA EU PROJEKATA'!$Q$3:$Q$501,"=31")</f>
        <v>0</v>
      </c>
      <c r="O73" s="138">
        <f>SUMIFS('Plan rashoda za unos u SAP'!$J$3:$J$501,'Plan rashoda za unos u SAP'!$C$3:$C$501,"=563",'Plan rashoda za unos u SAP'!$N$3:$N$501,"=31")+SUMIFS('ANALITIKA EU PROJEKATA'!$H$3:$H$501,'ANALITIKA EU PROJEKATA'!$A$3:$A$501,"=563",'ANALITIKA EU PROJEKATA'!$Q$3:$Q$501,"=31")</f>
        <v>0</v>
      </c>
      <c r="P73" s="138">
        <f>SUMIFS('Plan rashoda za unos u SAP'!$J$3:$J$501,'Plan rashoda za unos u SAP'!$C$3:$C$501,"=573",'Plan rashoda za unos u SAP'!$N$3:$N$501,"=31")+SUMIFS('ANALITIKA EU PROJEKATA'!$H$3:$H$501,'ANALITIKA EU PROJEKATA'!$A$3:$A$501,"=573",'ANALITIKA EU PROJEKATA'!$Q$3:$Q$501,"=31")</f>
        <v>0</v>
      </c>
      <c r="Q73" s="138">
        <f>SUMIFS('Plan rashoda za unos u SAP'!$J$3:$J$501,'Plan rashoda za unos u SAP'!$C$3:$C$501,"=575",'Plan rashoda za unos u SAP'!$N$3:$N$501,"=31")+SUMIFS('ANALITIKA EU PROJEKATA'!$H$3:$H$501,'ANALITIKA EU PROJEKATA'!$A$3:$A$501,"=575",'ANALITIKA EU PROJEKATA'!$Q$3:$Q$501,"=31")</f>
        <v>0</v>
      </c>
      <c r="R73" s="138">
        <f>SUMIFS('Plan rashoda za unos u SAP'!$J$3:$J$501,'Plan rashoda za unos u SAP'!$C$3:$C$501,"=576",'Plan rashoda za unos u SAP'!$N$3:$N$501,"=31")+SUMIFS('ANALITIKA EU PROJEKATA'!$H$3:$H$501,'ANALITIKA EU PROJEKATA'!$A$3:$A$501,"=576",'ANALITIKA EU PROJEKATA'!$Q$3:$Q$501,"=31")</f>
        <v>0</v>
      </c>
      <c r="S73" s="138">
        <f>SUMIFS('Plan rashoda za unos u SAP'!$J$3:$J$501,'Plan rashoda za unos u SAP'!$C$3:$C$501,"=581",'Plan rashoda za unos u SAP'!$N$3:$N$501,"=31")+SUMIFS('ANALITIKA EU PROJEKATA'!$H$3:$H$501,'ANALITIKA EU PROJEKATA'!$A$3:$A$501,"=581",'ANALITIKA EU PROJEKATA'!$Q$3:$Q$501,"=31")</f>
        <v>0</v>
      </c>
      <c r="T73" s="138">
        <f>SUMIFS('Plan rashoda za unos u SAP'!$J$3:$J$501,'Plan rashoda za unos u SAP'!$C$3:$C$501,"=61",'Plan rashoda za unos u SAP'!$N$3:$N$501,"=31")+SUMIFS('ANALITIKA EU PROJEKATA'!$H$3:$H$501,'ANALITIKA EU PROJEKATA'!$A$3:$A$501,"=61",'ANALITIKA EU PROJEKATA'!$Q$3:$Q$501,"=31")</f>
        <v>157000</v>
      </c>
      <c r="U73" s="138">
        <f>SUMIFS('Plan rashoda za unos u SAP'!$J$3:$J$501,'Plan rashoda za unos u SAP'!$C$3:$C$501,"=63",'Plan rashoda za unos u SAP'!$N$3:$N$501,"=31")+SUMIFS('ANALITIKA EU PROJEKATA'!$H$3:$H$501,'ANALITIKA EU PROJEKATA'!$A$3:$A$501,"=63",'ANALITIKA EU PROJEKATA'!$Q$3:$Q$501,"=31")</f>
        <v>0</v>
      </c>
      <c r="V73" s="138">
        <f>SUMIFS('Plan rashoda za unos u SAP'!$J$3:$J$501,'Plan rashoda za unos u SAP'!$C$3:$C$501,"=71",'Plan rashoda za unos u SAP'!$N$3:$N$501,"=31")+SUMIFS('ANALITIKA EU PROJEKATA'!$H$3:$H$501,'ANALITIKA EU PROJEKATA'!$A$3:$A$501,"=71",'ANALITIKA EU PROJEKATA'!$Q$3:$Q$501,"=31")</f>
        <v>0</v>
      </c>
      <c r="W73" s="138">
        <f>SUMIFS('Plan rashoda za unos u SAP'!$J$3:$J$501,'Plan rashoda za unos u SAP'!$C$3:$C$501,"=81",'Plan rashoda za unos u SAP'!$N$3:$N$501,"=31")+SUMIFS('ANALITIKA EU PROJEKATA'!$H$3:$H$501,'ANALITIKA EU PROJEKATA'!$A$3:$A$501,"=81",'ANALITIKA EU PROJEKATA'!$Q$3:$Q$501,"=31")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203</v>
      </c>
      <c r="D74" s="133">
        <f t="shared" si="22"/>
        <v>4518354</v>
      </c>
      <c r="E74" s="138">
        <f>SUMIFS('Plan rashoda za unos u SAP'!$J$3:$J$501,'Plan rashoda za unos u SAP'!$C$3:$C$501,"=11",'Plan rashoda za unos u SAP'!$N$3:$N$501,"=32")+SUMIFS('ANALITIKA EU PROJEKATA'!$H$3:$H$501,'ANALITIKA EU PROJEKATA'!$A$3:$A$501,"=11",'ANALITIKA EU PROJEKATA'!$Q$3:$Q$501,"=32")</f>
        <v>1249084</v>
      </c>
      <c r="F74" s="138">
        <f>SUMIFS('Plan rashoda za unos u SAP'!$J$3:$J$501,'Plan rashoda za unos u SAP'!$C$3:$C$501,"=12",'Plan rashoda za unos u SAP'!$N$3:$N$501,"=32")+SUMIFS('ANALITIKA EU PROJEKATA'!$H$3:$H$501,'ANALITIKA EU PROJEKATA'!$A$3:$A$501,"=12",'ANALITIKA EU PROJEKATA'!$Q$3:$Q$501,"=32")</f>
        <v>0</v>
      </c>
      <c r="G74" s="138">
        <f>SUMIFS('Plan rashoda za unos u SAP'!$J$3:$J$501,'Plan rashoda za unos u SAP'!$C$3:$C$501,"=31",'Plan rashoda za unos u SAP'!$N$3:$N$501,"=32")+SUMIFS('ANALITIKA EU PROJEKATA'!$H$3:$H$501,'ANALITIKA EU PROJEKATA'!$A$3:$A$501,"=31",'ANALITIKA EU PROJEKATA'!$Q$3:$Q$501,"=32")</f>
        <v>290000</v>
      </c>
      <c r="H74" s="138">
        <f>SUMIFS('Plan rashoda za unos u SAP'!$J$3:$J$501,'Plan rashoda za unos u SAP'!$C$3:$C$501,"=41",'Plan rashoda za unos u SAP'!$N$3:$N$501,"=32")+SUMIFS('ANALITIKA EU PROJEKATA'!$H$3:$H$501,'ANALITIKA EU PROJEKATA'!$A$3:$A$501,"=41",'ANALITIKA EU PROJEKATA'!$Q$3:$Q$501,"=32")</f>
        <v>0</v>
      </c>
      <c r="I74" s="138">
        <f>SUMIFS('Plan rashoda za unos u SAP'!$J$3:$J$501,'Plan rashoda za unos u SAP'!$C$3:$C$501,"=43",'Plan rashoda za unos u SAP'!$N$3:$N$501,"=32")+SUMIFS('ANALITIKA EU PROJEKATA'!$H$3:$H$501,'ANALITIKA EU PROJEKATA'!$A$3:$A$501,"=43",'ANALITIKA EU PROJEKATA'!$Q$3:$Q$501,"=32")</f>
        <v>2840770</v>
      </c>
      <c r="J74" s="138">
        <f>SUMIFS('Plan rashoda za unos u SAP'!$J$3:$J$501,'Plan rashoda za unos u SAP'!$C$3:$C$501,"=51",'Plan rashoda za unos u SAP'!$N$3:$N$501,"=32")+SUMIFS('ANALITIKA EU PROJEKATA'!$H$3:$H$501,'ANALITIKA EU PROJEKATA'!$A$3:$A$501,"=51",'ANALITIKA EU PROJEKATA'!$Q$3:$Q$501,"=32")</f>
        <v>105000</v>
      </c>
      <c r="K74" s="138">
        <f>SUMIFS('Plan rashoda za unos u SAP'!$J$3:$J$501,'Plan rashoda za unos u SAP'!$C$3:$C$501,"=52",'Plan rashoda za unos u SAP'!$N$3:$N$501,"=32")+SUMIFS('ANALITIKA EU PROJEKATA'!$H$3:$H$501,'ANALITIKA EU PROJEKATA'!$A$3:$A$501,"=52",'ANALITIKA EU PROJEKATA'!$Q$3:$Q$501,"=32")</f>
        <v>10000</v>
      </c>
      <c r="L74" s="138">
        <f>SUMIFS('Plan rashoda za unos u SAP'!$J$3:$J$501,'Plan rashoda za unos u SAP'!$C$3:$C$501,"=552",'Plan rashoda za unos u SAP'!$N$3:$N$501,"=32")+SUMIFS('ANALITIKA EU PROJEKATA'!$H$3:$H$501,'ANALITIKA EU PROJEKATA'!$A$3:$A$501,"=552",'ANALITIKA EU PROJEKATA'!$Q$3:$Q$501,"=32")</f>
        <v>0</v>
      </c>
      <c r="M74" s="138">
        <f>SUMIFS('Plan rashoda za unos u SAP'!$J$3:$J$501,'Plan rashoda za unos u SAP'!$C$3:$C$501,"=559",'Plan rashoda za unos u SAP'!$N$3:$N$501,"=32")+SUMIFS('ANALITIKA EU PROJEKATA'!$H$3:$H$501,'ANALITIKA EU PROJEKATA'!$A$3:$A$501,"=559",'ANALITIKA EU PROJEKATA'!$Q$3:$Q$501,"=32")</f>
        <v>0</v>
      </c>
      <c r="N74" s="138">
        <f>SUMIFS('Plan rashoda za unos u SAP'!$J$3:$J$501,'Plan rashoda za unos u SAP'!$C$3:$C$501,"=561",'Plan rashoda za unos u SAP'!$N$3:$N$501,"=32")+SUMIFS('ANALITIKA EU PROJEKATA'!$H$3:$H$501,'ANALITIKA EU PROJEKATA'!$A$3:$A$501,"=561",'ANALITIKA EU PROJEKATA'!$Q$3:$Q$501,"=32")</f>
        <v>0</v>
      </c>
      <c r="O74" s="138">
        <f>SUMIFS('Plan rashoda za unos u SAP'!$J$3:$J$501,'Plan rashoda za unos u SAP'!$C$3:$C$501,"=563",'Plan rashoda za unos u SAP'!$N$3:$N$501,"=32")+SUMIFS('ANALITIKA EU PROJEKATA'!$H$3:$H$501,'ANALITIKA EU PROJEKATA'!$A$3:$A$501,"=563",'ANALITIKA EU PROJEKATA'!$Q$3:$Q$501,"=32")</f>
        <v>0</v>
      </c>
      <c r="P74" s="138">
        <f>SUMIFS('Plan rashoda za unos u SAP'!$J$3:$J$501,'Plan rashoda za unos u SAP'!$C$3:$C$501,"=573",'Plan rashoda za unos u SAP'!$N$3:$N$501,"=32")+SUMIFS('ANALITIKA EU PROJEKATA'!$H$3:$H$501,'ANALITIKA EU PROJEKATA'!$A$3:$A$501,"=573",'ANALITIKA EU PROJEKATA'!$Q$3:$Q$501,"=32")</f>
        <v>0</v>
      </c>
      <c r="Q74" s="138">
        <f>SUMIFS('Plan rashoda za unos u SAP'!$J$3:$J$501,'Plan rashoda za unos u SAP'!$C$3:$C$501,"=575",'Plan rashoda za unos u SAP'!$N$3:$N$501,"=32")+SUMIFS('ANALITIKA EU PROJEKATA'!$H$3:$H$501,'ANALITIKA EU PROJEKATA'!$A$3:$A$501,"=575",'ANALITIKA EU PROJEKATA'!$Q$3:$Q$501,"=32")</f>
        <v>0</v>
      </c>
      <c r="R74" s="138">
        <f>SUMIFS('Plan rashoda za unos u SAP'!$J$3:$J$501,'Plan rashoda za unos u SAP'!$C$3:$C$501,"=576",'Plan rashoda za unos u SAP'!$N$3:$N$501,"=32")+SUMIFS('ANALITIKA EU PROJEKATA'!$H$3:$H$501,'ANALITIKA EU PROJEKATA'!$A$3:$A$501,"=576",'ANALITIKA EU PROJEKATA'!$Q$3:$Q$501,"=32")</f>
        <v>0</v>
      </c>
      <c r="S74" s="138">
        <f>SUMIFS('Plan rashoda za unos u SAP'!$J$3:$J$501,'Plan rashoda za unos u SAP'!$C$3:$C$501,"=581",'Plan rashoda za unos u SAP'!$N$3:$N$501,"=32")+SUMIFS('ANALITIKA EU PROJEKATA'!$H$3:$H$501,'ANALITIKA EU PROJEKATA'!$A$3:$A$501,"=581",'ANALITIKA EU PROJEKATA'!$Q$3:$Q$501,"=32")</f>
        <v>0</v>
      </c>
      <c r="T74" s="138">
        <f>SUMIFS('Plan rashoda za unos u SAP'!$J$3:$J$501,'Plan rashoda za unos u SAP'!$C$3:$C$501,"=61",'Plan rashoda za unos u SAP'!$N$3:$N$501,"=32")+SUMIFS('ANALITIKA EU PROJEKATA'!$H$3:$H$501,'ANALITIKA EU PROJEKATA'!$A$3:$A$501,"=61",'ANALITIKA EU PROJEKATA'!$Q$3:$Q$501,"=32")</f>
        <v>23500</v>
      </c>
      <c r="U74" s="138">
        <f>SUMIFS('Plan rashoda za unos u SAP'!$J$3:$J$501,'Plan rashoda za unos u SAP'!$C$3:$C$501,"=63",'Plan rashoda za unos u SAP'!$N$3:$N$501,"=32")+SUMIFS('ANALITIKA EU PROJEKATA'!$H$3:$H$501,'ANALITIKA EU PROJEKATA'!$A$3:$A$501,"=63",'ANALITIKA EU PROJEKATA'!$Q$3:$Q$501,"=32")</f>
        <v>0</v>
      </c>
      <c r="V74" s="138">
        <f>SUMIFS('Plan rashoda za unos u SAP'!$J$3:$J$501,'Plan rashoda za unos u SAP'!$C$3:$C$501,"=71",'Plan rashoda za unos u SAP'!$N$3:$N$501,"=32")+SUMIFS('ANALITIKA EU PROJEKATA'!$H$3:$H$501,'ANALITIKA EU PROJEKATA'!$A$3:$A$501,"=71",'ANALITIKA EU PROJEKATA'!$Q$3:$Q$501,"=32")</f>
        <v>0</v>
      </c>
      <c r="W74" s="138">
        <f>SUMIFS('Plan rashoda za unos u SAP'!$J$3:$J$501,'Plan rashoda za unos u SAP'!$C$3:$C$501,"=81",'Plan rashoda za unos u SAP'!$N$3:$N$501,"=32")+SUMIFS('ANALITIKA EU PROJEKATA'!$H$3:$H$501,'ANALITIKA EU PROJEKATA'!$A$3:$A$501,"=81",'ANALITIKA EU PROJEKATA'!$Q$3:$Q$501,"=32")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207</v>
      </c>
      <c r="D75" s="133">
        <f t="shared" si="22"/>
        <v>142000</v>
      </c>
      <c r="E75" s="138">
        <f>SUMIFS('Plan rashoda za unos u SAP'!$J$3:$J$501,'Plan rashoda za unos u SAP'!$C$3:$C$501,"=11",'Plan rashoda za unos u SAP'!$N$3:$N$501,"=34")+SUMIFS('ANALITIKA EU PROJEKATA'!$H$3:$H$501,'ANALITIKA EU PROJEKATA'!$A$3:$A$501,"=11",'ANALITIKA EU PROJEKATA'!$Q$3:$Q$501,"=34")</f>
        <v>0</v>
      </c>
      <c r="F75" s="138">
        <f>SUMIFS('Plan rashoda za unos u SAP'!$J$3:$J$501,'Plan rashoda za unos u SAP'!$C$3:$C$501,"=12",'Plan rashoda za unos u SAP'!$N$3:$N$501,"=34")+SUMIFS('ANALITIKA EU PROJEKATA'!$H$3:$H$501,'ANALITIKA EU PROJEKATA'!$A$3:$A$501,"=12",'ANALITIKA EU PROJEKATA'!$Q$3:$Q$501,"=34")</f>
        <v>0</v>
      </c>
      <c r="G75" s="138">
        <f>SUMIFS('Plan rashoda za unos u SAP'!$J$3:$J$501,'Plan rashoda za unos u SAP'!$C$3:$C$501,"=31",'Plan rashoda za unos u SAP'!$N$3:$N$501,"=34")+SUMIFS('ANALITIKA EU PROJEKATA'!$H$3:$H$501,'ANALITIKA EU PROJEKATA'!$A$3:$A$501,"=31",'ANALITIKA EU PROJEKATA'!$Q$3:$Q$501,"=34")</f>
        <v>4000</v>
      </c>
      <c r="H75" s="138">
        <f>SUMIFS('Plan rashoda za unos u SAP'!$J$3:$J$501,'Plan rashoda za unos u SAP'!$C$3:$C$501,"=41",'Plan rashoda za unos u SAP'!$N$3:$N$501,"=34")+SUMIFS('ANALITIKA EU PROJEKATA'!$H$3:$H$501,'ANALITIKA EU PROJEKATA'!$A$3:$A$501,"=41",'ANALITIKA EU PROJEKATA'!$Q$3:$Q$501,"=34")</f>
        <v>0</v>
      </c>
      <c r="I75" s="138">
        <f>SUMIFS('Plan rashoda za unos u SAP'!$J$3:$J$501,'Plan rashoda za unos u SAP'!$C$3:$C$501,"=43",'Plan rashoda za unos u SAP'!$N$3:$N$501,"=34")+SUMIFS('ANALITIKA EU PROJEKATA'!$H$3:$H$501,'ANALITIKA EU PROJEKATA'!$A$3:$A$501,"=43",'ANALITIKA EU PROJEKATA'!$Q$3:$Q$501,"=34")</f>
        <v>138000</v>
      </c>
      <c r="J75" s="138">
        <f>SUMIFS('Plan rashoda za unos u SAP'!$J$3:$J$501,'Plan rashoda za unos u SAP'!$C$3:$C$501,"=51",'Plan rashoda za unos u SAP'!$N$3:$N$501,"=34")+SUMIFS('ANALITIKA EU PROJEKATA'!$H$3:$H$501,'ANALITIKA EU PROJEKATA'!$A$3:$A$501,"=51",'ANALITIKA EU PROJEKATA'!$Q$3:$Q$501,"=34")</f>
        <v>0</v>
      </c>
      <c r="K75" s="138">
        <f>SUMIFS('Plan rashoda za unos u SAP'!$J$3:$J$501,'Plan rashoda za unos u SAP'!$C$3:$C$501,"=52",'Plan rashoda za unos u SAP'!$N$3:$N$501,"=34")+SUMIFS('ANALITIKA EU PROJEKATA'!$H$3:$H$501,'ANALITIKA EU PROJEKATA'!$A$3:$A$501,"=52",'ANALITIKA EU PROJEKATA'!$Q$3:$Q$501,"=34")</f>
        <v>0</v>
      </c>
      <c r="L75" s="138">
        <f>SUMIFS('Plan rashoda za unos u SAP'!$J$3:$J$501,'Plan rashoda za unos u SAP'!$C$3:$C$501,"=552",'Plan rashoda za unos u SAP'!$N$3:$N$501,"=34")+SUMIFS('ANALITIKA EU PROJEKATA'!$H$3:$H$501,'ANALITIKA EU PROJEKATA'!$A$3:$A$501,"=552",'ANALITIKA EU PROJEKATA'!$Q$3:$Q$501,"=34")</f>
        <v>0</v>
      </c>
      <c r="M75" s="138">
        <f>SUMIFS('Plan rashoda za unos u SAP'!$J$3:$J$501,'Plan rashoda za unos u SAP'!$C$3:$C$501,"=559",'Plan rashoda za unos u SAP'!$N$3:$N$501,"=34")+SUMIFS('ANALITIKA EU PROJEKATA'!$H$3:$H$501,'ANALITIKA EU PROJEKATA'!$A$3:$A$501,"=559",'ANALITIKA EU PROJEKATA'!$Q$3:$Q$501,"=34")</f>
        <v>0</v>
      </c>
      <c r="N75" s="138">
        <f>SUMIFS('Plan rashoda za unos u SAP'!$J$3:$J$501,'Plan rashoda za unos u SAP'!$C$3:$C$501,"=561",'Plan rashoda za unos u SAP'!$N$3:$N$501,"=34")+SUMIFS('ANALITIKA EU PROJEKATA'!$H$3:$H$501,'ANALITIKA EU PROJEKATA'!$A$3:$A$501,"=561",'ANALITIKA EU PROJEKATA'!$Q$3:$Q$501,"=34")</f>
        <v>0</v>
      </c>
      <c r="O75" s="138">
        <f>SUMIFS('Plan rashoda za unos u SAP'!$J$3:$J$501,'Plan rashoda za unos u SAP'!$C$3:$C$501,"=563",'Plan rashoda za unos u SAP'!$N$3:$N$501,"=34")+SUMIFS('ANALITIKA EU PROJEKATA'!$H$3:$H$501,'ANALITIKA EU PROJEKATA'!$A$3:$A$501,"=563",'ANALITIKA EU PROJEKATA'!$Q$3:$Q$501,"=34")</f>
        <v>0</v>
      </c>
      <c r="P75" s="138">
        <f>SUMIFS('Plan rashoda za unos u SAP'!$J$3:$J$501,'Plan rashoda za unos u SAP'!$C$3:$C$501,"=573",'Plan rashoda za unos u SAP'!$N$3:$N$501,"=34")+SUMIFS('ANALITIKA EU PROJEKATA'!$H$3:$H$501,'ANALITIKA EU PROJEKATA'!$A$3:$A$501,"=573",'ANALITIKA EU PROJEKATA'!$Q$3:$Q$501,"=34")</f>
        <v>0</v>
      </c>
      <c r="Q75" s="138">
        <f>SUMIFS('Plan rashoda za unos u SAP'!$J$3:$J$501,'Plan rashoda za unos u SAP'!$C$3:$C$501,"=575",'Plan rashoda za unos u SAP'!$N$3:$N$501,"=34")+SUMIFS('ANALITIKA EU PROJEKATA'!$H$3:$H$501,'ANALITIKA EU PROJEKATA'!$A$3:$A$501,"=575",'ANALITIKA EU PROJEKATA'!$Q$3:$Q$501,"=34")</f>
        <v>0</v>
      </c>
      <c r="R75" s="138">
        <f>SUMIFS('Plan rashoda za unos u SAP'!$J$3:$J$501,'Plan rashoda za unos u SAP'!$C$3:$C$501,"=576",'Plan rashoda za unos u SAP'!$N$3:$N$501,"=34")+SUMIFS('ANALITIKA EU PROJEKATA'!$H$3:$H$501,'ANALITIKA EU PROJEKATA'!$A$3:$A$501,"=576",'ANALITIKA EU PROJEKATA'!$Q$3:$Q$501,"=34")</f>
        <v>0</v>
      </c>
      <c r="S75" s="138">
        <f>SUMIFS('Plan rashoda za unos u SAP'!$J$3:$J$501,'Plan rashoda za unos u SAP'!$C$3:$C$501,"=581",'Plan rashoda za unos u SAP'!$N$3:$N$501,"=34")+SUMIFS('ANALITIKA EU PROJEKATA'!$H$3:$H$501,'ANALITIKA EU PROJEKATA'!$A$3:$A$501,"=581",'ANALITIKA EU PROJEKATA'!$Q$3:$Q$501,"=34")</f>
        <v>0</v>
      </c>
      <c r="T75" s="138">
        <f>SUMIFS('Plan rashoda za unos u SAP'!$J$3:$J$501,'Plan rashoda za unos u SAP'!$C$3:$C$501,"=61",'Plan rashoda za unos u SAP'!$N$3:$N$501,"=34")+SUMIFS('ANALITIKA EU PROJEKATA'!$H$3:$H$501,'ANALITIKA EU PROJEKATA'!$A$3:$A$501,"=61",'ANALITIKA EU PROJEKATA'!$Q$3:$Q$501,"=34")</f>
        <v>0</v>
      </c>
      <c r="U75" s="138">
        <f>SUMIFS('Plan rashoda za unos u SAP'!$J$3:$J$501,'Plan rashoda za unos u SAP'!$C$3:$C$501,"=63",'Plan rashoda za unos u SAP'!$N$3:$N$501,"=34")+SUMIFS('ANALITIKA EU PROJEKATA'!$H$3:$H$501,'ANALITIKA EU PROJEKATA'!$A$3:$A$501,"=63",'ANALITIKA EU PROJEKATA'!$Q$3:$Q$501,"=34")</f>
        <v>0</v>
      </c>
      <c r="V75" s="138">
        <f>SUMIFS('Plan rashoda za unos u SAP'!$J$3:$J$501,'Plan rashoda za unos u SAP'!$C$3:$C$501,"=71",'Plan rashoda za unos u SAP'!$N$3:$N$501,"=34")+SUMIFS('ANALITIKA EU PROJEKATA'!$H$3:$H$501,'ANALITIKA EU PROJEKATA'!$A$3:$A$501,"=71",'ANALITIKA EU PROJEKATA'!$Q$3:$Q$501,"=34")</f>
        <v>0</v>
      </c>
      <c r="W75" s="138">
        <f>SUMIFS('Plan rashoda za unos u SAP'!$J$3:$J$501,'Plan rashoda za unos u SAP'!$C$3:$C$501,"=81",'Plan rashoda za unos u SAP'!$N$3:$N$501,"=34")+SUMIFS('ANALITIKA EU PROJEKATA'!$H$3:$H$501,'ANALITIKA EU PROJEKATA'!$A$3:$A$501,"=81",'ANALITIKA EU PROJEKATA'!$Q$3:$Q$501,"=34")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321</v>
      </c>
      <c r="D76" s="133">
        <f t="shared" si="22"/>
        <v>0</v>
      </c>
      <c r="E76" s="138">
        <f>SUMIFS('Plan rashoda za unos u SAP'!$J$3:$J$501,'Plan rashoda za unos u SAP'!$C$3:$C$501,"=11",'Plan rashoda za unos u SAP'!$N$3:$N$501,"=35")+SUMIFS('ANALITIKA EU PROJEKATA'!$H$3:$H$501,'ANALITIKA EU PROJEKATA'!$A$3:$A$501,"=11",'ANALITIKA EU PROJEKATA'!$Q$3:$Q$501,"=35")</f>
        <v>0</v>
      </c>
      <c r="F76" s="138">
        <f>SUMIFS('Plan rashoda za unos u SAP'!$J$3:$J$501,'Plan rashoda za unos u SAP'!$C$3:$C$501,"=12",'Plan rashoda za unos u SAP'!$N$3:$N$501,"=35")+SUMIFS('ANALITIKA EU PROJEKATA'!$H$3:$H$501,'ANALITIKA EU PROJEKATA'!$A$3:$A$501,"=12",'ANALITIKA EU PROJEKATA'!$Q$3:$Q$501,"=35")</f>
        <v>0</v>
      </c>
      <c r="G76" s="138">
        <f>SUMIFS('Plan rashoda za unos u SAP'!$J$3:$J$501,'Plan rashoda za unos u SAP'!$C$3:$C$501,"=31",'Plan rashoda za unos u SAP'!$N$3:$N$501,"=35")+SUMIFS('ANALITIKA EU PROJEKATA'!$H$3:$H$501,'ANALITIKA EU PROJEKATA'!$A$3:$A$501,"=31",'ANALITIKA EU PROJEKATA'!$Q$3:$Q$501,"=35")</f>
        <v>0</v>
      </c>
      <c r="H76" s="138">
        <f>SUMIFS('Plan rashoda za unos u SAP'!$J$3:$J$501,'Plan rashoda za unos u SAP'!$C$3:$C$501,"=41",'Plan rashoda za unos u SAP'!$N$3:$N$501,"=35")+SUMIFS('ANALITIKA EU PROJEKATA'!$H$3:$H$501,'ANALITIKA EU PROJEKATA'!$A$3:$A$501,"=41",'ANALITIKA EU PROJEKATA'!$Q$3:$Q$501,"=35")</f>
        <v>0</v>
      </c>
      <c r="I76" s="138">
        <f>SUMIFS('Plan rashoda za unos u SAP'!$J$3:$J$501,'Plan rashoda za unos u SAP'!$C$3:$C$501,"=43",'Plan rashoda za unos u SAP'!$N$3:$N$501,"=35")+SUMIFS('ANALITIKA EU PROJEKATA'!$H$3:$H$501,'ANALITIKA EU PROJEKATA'!$A$3:$A$501,"=43",'ANALITIKA EU PROJEKATA'!$Q$3:$Q$501,"=35")</f>
        <v>0</v>
      </c>
      <c r="J76" s="138">
        <f>SUMIFS('Plan rashoda za unos u SAP'!$J$3:$J$501,'Plan rashoda za unos u SAP'!$C$3:$C$501,"=51",'Plan rashoda za unos u SAP'!$N$3:$N$501,"=35")+SUMIFS('ANALITIKA EU PROJEKATA'!$H$3:$H$501,'ANALITIKA EU PROJEKATA'!$A$3:$A$501,"=51",'ANALITIKA EU PROJEKATA'!$Q$3:$Q$501,"=35")</f>
        <v>0</v>
      </c>
      <c r="K76" s="138">
        <f>SUMIFS('Plan rashoda za unos u SAP'!$J$3:$J$501,'Plan rashoda za unos u SAP'!$C$3:$C$501,"=52",'Plan rashoda za unos u SAP'!$N$3:$N$501,"=35")+SUMIFS('ANALITIKA EU PROJEKATA'!$H$3:$H$501,'ANALITIKA EU PROJEKATA'!$A$3:$A$501,"=52",'ANALITIKA EU PROJEKATA'!$Q$3:$Q$501,"=35")</f>
        <v>0</v>
      </c>
      <c r="L76" s="138">
        <f>SUMIFS('Plan rashoda za unos u SAP'!$J$3:$J$501,'Plan rashoda za unos u SAP'!$C$3:$C$501,"=552",'Plan rashoda za unos u SAP'!$N$3:$N$501,"=35")+SUMIFS('ANALITIKA EU PROJEKATA'!$H$3:$H$501,'ANALITIKA EU PROJEKATA'!$A$3:$A$501,"=552",'ANALITIKA EU PROJEKATA'!$Q$3:$Q$501,"=35")</f>
        <v>0</v>
      </c>
      <c r="M76" s="138">
        <f>SUMIFS('Plan rashoda za unos u SAP'!$J$3:$J$501,'Plan rashoda za unos u SAP'!$C$3:$C$501,"=559",'Plan rashoda za unos u SAP'!$N$3:$N$501,"=35")+SUMIFS('ANALITIKA EU PROJEKATA'!$H$3:$H$501,'ANALITIKA EU PROJEKATA'!$A$3:$A$501,"=559",'ANALITIKA EU PROJEKATA'!$Q$3:$Q$501,"=35")</f>
        <v>0</v>
      </c>
      <c r="N76" s="138">
        <f>SUMIFS('Plan rashoda za unos u SAP'!$J$3:$J$501,'Plan rashoda za unos u SAP'!$C$3:$C$501,"=561",'Plan rashoda za unos u SAP'!$N$3:$N$501,"=35")+SUMIFS('ANALITIKA EU PROJEKATA'!$H$3:$H$501,'ANALITIKA EU PROJEKATA'!$A$3:$A$501,"=561",'ANALITIKA EU PROJEKATA'!$Q$3:$Q$501,"=35")</f>
        <v>0</v>
      </c>
      <c r="O76" s="138">
        <f>SUMIFS('Plan rashoda za unos u SAP'!$J$3:$J$501,'Plan rashoda za unos u SAP'!$C$3:$C$501,"=563",'Plan rashoda za unos u SAP'!$N$3:$N$501,"=35")+SUMIFS('ANALITIKA EU PROJEKATA'!$H$3:$H$501,'ANALITIKA EU PROJEKATA'!$A$3:$A$501,"=563",'ANALITIKA EU PROJEKATA'!$Q$3:$Q$501,"=35")</f>
        <v>0</v>
      </c>
      <c r="P76" s="138">
        <f>SUMIFS('Plan rashoda za unos u SAP'!$J$3:$J$501,'Plan rashoda za unos u SAP'!$C$3:$C$501,"=573",'Plan rashoda za unos u SAP'!$N$3:$N$501,"=35")+SUMIFS('ANALITIKA EU PROJEKATA'!$H$3:$H$501,'ANALITIKA EU PROJEKATA'!$A$3:$A$501,"=573",'ANALITIKA EU PROJEKATA'!$Q$3:$Q$501,"=35")</f>
        <v>0</v>
      </c>
      <c r="Q76" s="138">
        <f>SUMIFS('Plan rashoda za unos u SAP'!$J$3:$J$501,'Plan rashoda za unos u SAP'!$C$3:$C$501,"=575",'Plan rashoda za unos u SAP'!$N$3:$N$501,"=35")+SUMIFS('ANALITIKA EU PROJEKATA'!$H$3:$H$501,'ANALITIKA EU PROJEKATA'!$A$3:$A$501,"=575",'ANALITIKA EU PROJEKATA'!$Q$3:$Q$501,"=35")</f>
        <v>0</v>
      </c>
      <c r="R76" s="138">
        <f>SUMIFS('Plan rashoda za unos u SAP'!$J$3:$J$501,'Plan rashoda za unos u SAP'!$C$3:$C$501,"=576",'Plan rashoda za unos u SAP'!$N$3:$N$501,"=35")+SUMIFS('ANALITIKA EU PROJEKATA'!$H$3:$H$501,'ANALITIKA EU PROJEKATA'!$A$3:$A$501,"=576",'ANALITIKA EU PROJEKATA'!$Q$3:$Q$501,"=35")</f>
        <v>0</v>
      </c>
      <c r="S76" s="138">
        <f>SUMIFS('Plan rashoda za unos u SAP'!$J$3:$J$501,'Plan rashoda za unos u SAP'!$C$3:$C$501,"=581",'Plan rashoda za unos u SAP'!$N$3:$N$501,"=35")+SUMIFS('ANALITIKA EU PROJEKATA'!$H$3:$H$501,'ANALITIKA EU PROJEKATA'!$A$3:$A$501,"=581",'ANALITIKA EU PROJEKATA'!$Q$3:$Q$501,"=35")</f>
        <v>0</v>
      </c>
      <c r="T76" s="138">
        <f>SUMIFS('Plan rashoda za unos u SAP'!$J$3:$J$501,'Plan rashoda za unos u SAP'!$C$3:$C$501,"=61",'Plan rashoda za unos u SAP'!$N$3:$N$501,"=35")+SUMIFS('ANALITIKA EU PROJEKATA'!$H$3:$H$501,'ANALITIKA EU PROJEKATA'!$A$3:$A$501,"=61",'ANALITIKA EU PROJEKATA'!$Q$3:$Q$501,"=35")</f>
        <v>0</v>
      </c>
      <c r="U76" s="138">
        <f>SUMIFS('Plan rashoda za unos u SAP'!$J$3:$J$501,'Plan rashoda za unos u SAP'!$C$3:$C$501,"=63",'Plan rashoda za unos u SAP'!$N$3:$N$501,"=35")+SUMIFS('ANALITIKA EU PROJEKATA'!$H$3:$H$501,'ANALITIKA EU PROJEKATA'!$A$3:$A$501,"=63",'ANALITIKA EU PROJEKATA'!$Q$3:$Q$501,"=35")</f>
        <v>0</v>
      </c>
      <c r="V76" s="138">
        <f>SUMIFS('Plan rashoda za unos u SAP'!$J$3:$J$501,'Plan rashoda za unos u SAP'!$C$3:$C$501,"=71",'Plan rashoda za unos u SAP'!$N$3:$N$501,"=35")+SUMIFS('ANALITIKA EU PROJEKATA'!$H$3:$H$501,'ANALITIKA EU PROJEKATA'!$A$3:$A$501,"=71",'ANALITIKA EU PROJEKATA'!$Q$3:$Q$501,"=35")</f>
        <v>0</v>
      </c>
      <c r="W76" s="138">
        <f>SUMIFS('Plan rashoda za unos u SAP'!$J$3:$J$501,'Plan rashoda za unos u SAP'!$C$3:$C$501,"=81",'Plan rashoda za unos u SAP'!$N$3:$N$501,"=35")+SUMIFS('ANALITIKA EU PROJEKATA'!$H$3:$H$501,'ANALITIKA EU PROJEKATA'!$A$3:$A$501,"=81",'ANALITIKA EU PROJEKATA'!$Q$3:$Q$501,"=35")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209</v>
      </c>
      <c r="D77" s="133">
        <f t="shared" si="22"/>
        <v>333976</v>
      </c>
      <c r="E77" s="138">
        <f>SUMIFS('Plan rashoda za unos u SAP'!$J$3:$J$501,'Plan rashoda za unos u SAP'!$C$3:$C$501,"=11",'Plan rashoda za unos u SAP'!$N$3:$N$501,"=36")+SUMIFS('ANALITIKA EU PROJEKATA'!$H$3:$H$501,'ANALITIKA EU PROJEKATA'!$A$3:$A$501,"=11",'ANALITIKA EU PROJEKATA'!$Q$3:$Q$501,"=36")</f>
        <v>0</v>
      </c>
      <c r="F77" s="138">
        <f>SUMIFS('Plan rashoda za unos u SAP'!$J$3:$J$501,'Plan rashoda za unos u SAP'!$C$3:$C$501,"=12",'Plan rashoda za unos u SAP'!$N$3:$N$501,"=36")+SUMIFS('ANALITIKA EU PROJEKATA'!$H$3:$H$501,'ANALITIKA EU PROJEKATA'!$A$3:$A$501,"=12",'ANALITIKA EU PROJEKATA'!$Q$3:$Q$501,"=36")</f>
        <v>0</v>
      </c>
      <c r="G77" s="138">
        <f>SUMIFS('Plan rashoda za unos u SAP'!$J$3:$J$501,'Plan rashoda za unos u SAP'!$C$3:$C$501,"=31",'Plan rashoda za unos u SAP'!$N$3:$N$501,"=36")+SUMIFS('ANALITIKA EU PROJEKATA'!$H$3:$H$501,'ANALITIKA EU PROJEKATA'!$A$3:$A$501,"=31",'ANALITIKA EU PROJEKATA'!$Q$3:$Q$501,"=36")</f>
        <v>0</v>
      </c>
      <c r="H77" s="138">
        <f>SUMIFS('Plan rashoda za unos u SAP'!$J$3:$J$501,'Plan rashoda za unos u SAP'!$C$3:$C$501,"=41",'Plan rashoda za unos u SAP'!$N$3:$N$501,"=36")+SUMIFS('ANALITIKA EU PROJEKATA'!$H$3:$H$501,'ANALITIKA EU PROJEKATA'!$A$3:$A$501,"=41",'ANALITIKA EU PROJEKATA'!$Q$3:$Q$501,"=36")</f>
        <v>0</v>
      </c>
      <c r="I77" s="138">
        <f>SUMIFS('Plan rashoda za unos u SAP'!$J$3:$J$501,'Plan rashoda za unos u SAP'!$C$3:$C$501,"=43",'Plan rashoda za unos u SAP'!$N$3:$N$501,"=36")+SUMIFS('ANALITIKA EU PROJEKATA'!$H$3:$H$501,'ANALITIKA EU PROJEKATA'!$A$3:$A$501,"=43",'ANALITIKA EU PROJEKATA'!$Q$3:$Q$501,"=36")</f>
        <v>0</v>
      </c>
      <c r="J77" s="138">
        <f>SUMIFS('Plan rashoda za unos u SAP'!$J$3:$J$501,'Plan rashoda za unos u SAP'!$C$3:$C$501,"=51",'Plan rashoda za unos u SAP'!$N$3:$N$501,"=36")+SUMIFS('ANALITIKA EU PROJEKATA'!$H$3:$H$501,'ANALITIKA EU PROJEKATA'!$A$3:$A$501,"=51",'ANALITIKA EU PROJEKATA'!$Q$3:$Q$501,"=36")</f>
        <v>0</v>
      </c>
      <c r="K77" s="138">
        <f>SUMIFS('Plan rashoda za unos u SAP'!$J$3:$J$501,'Plan rashoda za unos u SAP'!$C$3:$C$501,"=52",'Plan rashoda za unos u SAP'!$N$3:$N$501,"=36")+SUMIFS('ANALITIKA EU PROJEKATA'!$H$3:$H$501,'ANALITIKA EU PROJEKATA'!$A$3:$A$501,"=52",'ANALITIKA EU PROJEKATA'!$Q$3:$Q$501,"=36")</f>
        <v>333976</v>
      </c>
      <c r="L77" s="138">
        <f>SUMIFS('Plan rashoda za unos u SAP'!$J$3:$J$501,'Plan rashoda za unos u SAP'!$C$3:$C$501,"=552",'Plan rashoda za unos u SAP'!$N$3:$N$501,"=36")+SUMIFS('ANALITIKA EU PROJEKATA'!$H$3:$H$501,'ANALITIKA EU PROJEKATA'!$A$3:$A$501,"=552",'ANALITIKA EU PROJEKATA'!$Q$3:$Q$501,"=36")</f>
        <v>0</v>
      </c>
      <c r="M77" s="138">
        <f>SUMIFS('Plan rashoda za unos u SAP'!$J$3:$J$501,'Plan rashoda za unos u SAP'!$C$3:$C$501,"=559",'Plan rashoda za unos u SAP'!$N$3:$N$501,"=36")+SUMIFS('ANALITIKA EU PROJEKATA'!$H$3:$H$501,'ANALITIKA EU PROJEKATA'!$A$3:$A$501,"=559",'ANALITIKA EU PROJEKATA'!$Q$3:$Q$501,"=36")</f>
        <v>0</v>
      </c>
      <c r="N77" s="138">
        <f>SUMIFS('Plan rashoda za unos u SAP'!$J$3:$J$501,'Plan rashoda za unos u SAP'!$C$3:$C$501,"=561",'Plan rashoda za unos u SAP'!$N$3:$N$501,"=36")+SUMIFS('ANALITIKA EU PROJEKATA'!$H$3:$H$501,'ANALITIKA EU PROJEKATA'!$A$3:$A$501,"=561",'ANALITIKA EU PROJEKATA'!$Q$3:$Q$501,"=36")</f>
        <v>0</v>
      </c>
      <c r="O77" s="138">
        <f>SUMIFS('Plan rashoda za unos u SAP'!$J$3:$J$501,'Plan rashoda za unos u SAP'!$C$3:$C$501,"=563",'Plan rashoda za unos u SAP'!$N$3:$N$501,"=36")+SUMIFS('ANALITIKA EU PROJEKATA'!$H$3:$H$501,'ANALITIKA EU PROJEKATA'!$A$3:$A$501,"=563",'ANALITIKA EU PROJEKATA'!$Q$3:$Q$501,"=36")</f>
        <v>0</v>
      </c>
      <c r="P77" s="138">
        <f>SUMIFS('Plan rashoda za unos u SAP'!$J$3:$J$501,'Plan rashoda za unos u SAP'!$C$3:$C$501,"=573",'Plan rashoda za unos u SAP'!$N$3:$N$501,"=36")+SUMIFS('ANALITIKA EU PROJEKATA'!$H$3:$H$501,'ANALITIKA EU PROJEKATA'!$A$3:$A$501,"=573",'ANALITIKA EU PROJEKATA'!$Q$3:$Q$501,"=36")</f>
        <v>0</v>
      </c>
      <c r="Q77" s="138">
        <f>SUMIFS('Plan rashoda za unos u SAP'!$J$3:$J$501,'Plan rashoda za unos u SAP'!$C$3:$C$501,"=575",'Plan rashoda za unos u SAP'!$N$3:$N$501,"=36")+SUMIFS('ANALITIKA EU PROJEKATA'!$H$3:$H$501,'ANALITIKA EU PROJEKATA'!$A$3:$A$501,"=575",'ANALITIKA EU PROJEKATA'!$Q$3:$Q$501,"=36")</f>
        <v>0</v>
      </c>
      <c r="R77" s="138">
        <f>SUMIFS('Plan rashoda za unos u SAP'!$J$3:$J$501,'Plan rashoda za unos u SAP'!$C$3:$C$501,"=576",'Plan rashoda za unos u SAP'!$N$3:$N$501,"=36")+SUMIFS('ANALITIKA EU PROJEKATA'!$H$3:$H$501,'ANALITIKA EU PROJEKATA'!$A$3:$A$501,"=576",'ANALITIKA EU PROJEKATA'!$Q$3:$Q$501,"=36")</f>
        <v>0</v>
      </c>
      <c r="S77" s="138">
        <f>SUMIFS('Plan rashoda za unos u SAP'!$J$3:$J$501,'Plan rashoda za unos u SAP'!$C$3:$C$501,"=581",'Plan rashoda za unos u SAP'!$N$3:$N$501,"=36")+SUMIFS('ANALITIKA EU PROJEKATA'!$H$3:$H$501,'ANALITIKA EU PROJEKATA'!$A$3:$A$501,"=581",'ANALITIKA EU PROJEKATA'!$Q$3:$Q$501,"=36")</f>
        <v>0</v>
      </c>
      <c r="T77" s="138">
        <f>SUMIFS('Plan rashoda za unos u SAP'!$J$3:$J$501,'Plan rashoda za unos u SAP'!$C$3:$C$501,"=61",'Plan rashoda za unos u SAP'!$N$3:$N$501,"=36")+SUMIFS('ANALITIKA EU PROJEKATA'!$H$3:$H$501,'ANALITIKA EU PROJEKATA'!$A$3:$A$501,"=61",'ANALITIKA EU PROJEKATA'!$Q$3:$Q$501,"=36")</f>
        <v>0</v>
      </c>
      <c r="U77" s="138">
        <f>SUMIFS('Plan rashoda za unos u SAP'!$J$3:$J$501,'Plan rashoda za unos u SAP'!$C$3:$C$501,"=63",'Plan rashoda za unos u SAP'!$N$3:$N$501,"=36")+SUMIFS('ANALITIKA EU PROJEKATA'!$H$3:$H$501,'ANALITIKA EU PROJEKATA'!$A$3:$A$501,"=63",'ANALITIKA EU PROJEKATA'!$Q$3:$Q$501,"=36")</f>
        <v>0</v>
      </c>
      <c r="V77" s="138">
        <f>SUMIFS('Plan rashoda za unos u SAP'!$J$3:$J$501,'Plan rashoda za unos u SAP'!$C$3:$C$501,"=71",'Plan rashoda za unos u SAP'!$N$3:$N$501,"=36")+SUMIFS('ANALITIKA EU PROJEKATA'!$H$3:$H$501,'ANALITIKA EU PROJEKATA'!$A$3:$A$501,"=71",'ANALITIKA EU PROJEKATA'!$Q$3:$Q$501,"=36")</f>
        <v>0</v>
      </c>
      <c r="W77" s="138">
        <f>SUMIFS('Plan rashoda za unos u SAP'!$J$3:$J$501,'Plan rashoda za unos u SAP'!$C$3:$C$501,"=81",'Plan rashoda za unos u SAP'!$N$3:$N$501,"=36")+SUMIFS('ANALITIKA EU PROJEKATA'!$H$3:$H$501,'ANALITIKA EU PROJEKATA'!$A$3:$A$501,"=81",'ANALITIKA EU PROJEKATA'!$Q$3:$Q$501,"=36")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328</v>
      </c>
      <c r="D78" s="133">
        <f t="shared" si="22"/>
        <v>25000</v>
      </c>
      <c r="E78" s="138">
        <f>SUMIFS('Plan rashoda za unos u SAP'!$J$3:$J$501,'Plan rashoda za unos u SAP'!$C$3:$C$501,"=11",'Plan rashoda za unos u SAP'!$N$3:$N$501,"=37")+SUMIFS('ANALITIKA EU PROJEKATA'!$H$3:$H$501,'ANALITIKA EU PROJEKATA'!$A$3:$A$501,"=11",'ANALITIKA EU PROJEKATA'!$Q$3:$Q$501,"=37")</f>
        <v>0</v>
      </c>
      <c r="F78" s="138">
        <f>SUMIFS('Plan rashoda za unos u SAP'!$J$3:$J$501,'Plan rashoda za unos u SAP'!$C$3:$C$501,"=12",'Plan rashoda za unos u SAP'!$N$3:$N$501,"=37")+SUMIFS('ANALITIKA EU PROJEKATA'!$H$3:$H$501,'ANALITIKA EU PROJEKATA'!$A$3:$A$501,"=12",'ANALITIKA EU PROJEKATA'!$Q$3:$Q$501,"=37")</f>
        <v>0</v>
      </c>
      <c r="G78" s="138">
        <f>SUMIFS('Plan rashoda za unos u SAP'!$J$3:$J$501,'Plan rashoda za unos u SAP'!$C$3:$C$501,"=31",'Plan rashoda za unos u SAP'!$N$3:$N$501,"=37")+SUMIFS('ANALITIKA EU PROJEKATA'!$H$3:$H$501,'ANALITIKA EU PROJEKATA'!$A$3:$A$501,"=31",'ANALITIKA EU PROJEKATA'!$Q$3:$Q$501,"=37")</f>
        <v>0</v>
      </c>
      <c r="H78" s="138">
        <f>SUMIFS('Plan rashoda za unos u SAP'!$J$3:$J$501,'Plan rashoda za unos u SAP'!$C$3:$C$501,"=41",'Plan rashoda za unos u SAP'!$N$3:$N$501,"=37")+SUMIFS('ANALITIKA EU PROJEKATA'!$H$3:$H$501,'ANALITIKA EU PROJEKATA'!$A$3:$A$501,"=41",'ANALITIKA EU PROJEKATA'!$Q$3:$Q$501,"=37")</f>
        <v>0</v>
      </c>
      <c r="I78" s="138">
        <f>SUMIFS('Plan rashoda za unos u SAP'!$J$3:$J$501,'Plan rashoda za unos u SAP'!$C$3:$C$501,"=43",'Plan rashoda za unos u SAP'!$N$3:$N$501,"=37")+SUMIFS('ANALITIKA EU PROJEKATA'!$H$3:$H$501,'ANALITIKA EU PROJEKATA'!$A$3:$A$501,"=43",'ANALITIKA EU PROJEKATA'!$Q$3:$Q$501,"=37")</f>
        <v>25000</v>
      </c>
      <c r="J78" s="138">
        <f>SUMIFS('Plan rashoda za unos u SAP'!$J$3:$J$501,'Plan rashoda za unos u SAP'!$C$3:$C$501,"=51",'Plan rashoda za unos u SAP'!$N$3:$N$501,"=37")+SUMIFS('ANALITIKA EU PROJEKATA'!$H$3:$H$501,'ANALITIKA EU PROJEKATA'!$A$3:$A$501,"=51",'ANALITIKA EU PROJEKATA'!$Q$3:$Q$501,"=37")</f>
        <v>0</v>
      </c>
      <c r="K78" s="138">
        <f>SUMIFS('Plan rashoda za unos u SAP'!$J$3:$J$501,'Plan rashoda za unos u SAP'!$C$3:$C$501,"=52",'Plan rashoda za unos u SAP'!$N$3:$N$501,"=37")+SUMIFS('ANALITIKA EU PROJEKATA'!$H$3:$H$501,'ANALITIKA EU PROJEKATA'!$A$3:$A$501,"=52",'ANALITIKA EU PROJEKATA'!$Q$3:$Q$501,"=37")</f>
        <v>0</v>
      </c>
      <c r="L78" s="138">
        <f>SUMIFS('Plan rashoda za unos u SAP'!$J$3:$J$501,'Plan rashoda za unos u SAP'!$C$3:$C$501,"=552",'Plan rashoda za unos u SAP'!$N$3:$N$501,"=37")+SUMIFS('ANALITIKA EU PROJEKATA'!$H$3:$H$501,'ANALITIKA EU PROJEKATA'!$A$3:$A$501,"=552",'ANALITIKA EU PROJEKATA'!$Q$3:$Q$501,"=37")</f>
        <v>0</v>
      </c>
      <c r="M78" s="138">
        <f>SUMIFS('Plan rashoda za unos u SAP'!$J$3:$J$501,'Plan rashoda za unos u SAP'!$C$3:$C$501,"=559",'Plan rashoda za unos u SAP'!$N$3:$N$501,"=37")+SUMIFS('ANALITIKA EU PROJEKATA'!$H$3:$H$501,'ANALITIKA EU PROJEKATA'!$A$3:$A$501,"=559",'ANALITIKA EU PROJEKATA'!$Q$3:$Q$501,"=37")</f>
        <v>0</v>
      </c>
      <c r="N78" s="138">
        <f>SUMIFS('Plan rashoda za unos u SAP'!$J$3:$J$501,'Plan rashoda za unos u SAP'!$C$3:$C$501,"=561",'Plan rashoda za unos u SAP'!$N$3:$N$501,"=37")+SUMIFS('ANALITIKA EU PROJEKATA'!$H$3:$H$501,'ANALITIKA EU PROJEKATA'!$A$3:$A$501,"=561",'ANALITIKA EU PROJEKATA'!$Q$3:$Q$501,"=37")</f>
        <v>0</v>
      </c>
      <c r="O78" s="138">
        <f>SUMIFS('Plan rashoda za unos u SAP'!$J$3:$J$501,'Plan rashoda za unos u SAP'!$C$3:$C$501,"=563",'Plan rashoda za unos u SAP'!$N$3:$N$501,"=37")+SUMIFS('ANALITIKA EU PROJEKATA'!$H$3:$H$501,'ANALITIKA EU PROJEKATA'!$A$3:$A$501,"=563",'ANALITIKA EU PROJEKATA'!$Q$3:$Q$501,"=37")</f>
        <v>0</v>
      </c>
      <c r="P78" s="138">
        <f>SUMIFS('Plan rashoda za unos u SAP'!$J$3:$J$501,'Plan rashoda za unos u SAP'!$C$3:$C$501,"=573",'Plan rashoda za unos u SAP'!$N$3:$N$501,"=37")+SUMIFS('ANALITIKA EU PROJEKATA'!$H$3:$H$501,'ANALITIKA EU PROJEKATA'!$A$3:$A$501,"=573",'ANALITIKA EU PROJEKATA'!$Q$3:$Q$501,"=37")</f>
        <v>0</v>
      </c>
      <c r="Q78" s="138">
        <f>SUMIFS('Plan rashoda za unos u SAP'!$J$3:$J$501,'Plan rashoda za unos u SAP'!$C$3:$C$501,"=575",'Plan rashoda za unos u SAP'!$N$3:$N$501,"=37")+SUMIFS('ANALITIKA EU PROJEKATA'!$H$3:$H$501,'ANALITIKA EU PROJEKATA'!$A$3:$A$501,"=575",'ANALITIKA EU PROJEKATA'!$Q$3:$Q$501,"=37")</f>
        <v>0</v>
      </c>
      <c r="R78" s="138">
        <f>SUMIFS('Plan rashoda za unos u SAP'!$J$3:$J$501,'Plan rashoda za unos u SAP'!$C$3:$C$501,"=576",'Plan rashoda za unos u SAP'!$N$3:$N$501,"=37")+SUMIFS('ANALITIKA EU PROJEKATA'!$H$3:$H$501,'ANALITIKA EU PROJEKATA'!$A$3:$A$501,"=576",'ANALITIKA EU PROJEKATA'!$Q$3:$Q$501,"=37")</f>
        <v>0</v>
      </c>
      <c r="S78" s="138">
        <f>SUMIFS('Plan rashoda za unos u SAP'!$J$3:$J$501,'Plan rashoda za unos u SAP'!$C$3:$C$501,"=581",'Plan rashoda za unos u SAP'!$N$3:$N$501,"=37")+SUMIFS('ANALITIKA EU PROJEKATA'!$H$3:$H$501,'ANALITIKA EU PROJEKATA'!$A$3:$A$501,"=581",'ANALITIKA EU PROJEKATA'!$Q$3:$Q$501,"=37")</f>
        <v>0</v>
      </c>
      <c r="T78" s="138">
        <f>SUMIFS('Plan rashoda za unos u SAP'!$J$3:$J$501,'Plan rashoda za unos u SAP'!$C$3:$C$501,"=61",'Plan rashoda za unos u SAP'!$N$3:$N$501,"=37")+SUMIFS('ANALITIKA EU PROJEKATA'!$H$3:$H$501,'ANALITIKA EU PROJEKATA'!$A$3:$A$501,"=61",'ANALITIKA EU PROJEKATA'!$Q$3:$Q$501,"=37")</f>
        <v>0</v>
      </c>
      <c r="U78" s="138">
        <f>SUMIFS('Plan rashoda za unos u SAP'!$J$3:$J$501,'Plan rashoda za unos u SAP'!$C$3:$C$501,"=63",'Plan rashoda za unos u SAP'!$N$3:$N$501,"=37")+SUMIFS('ANALITIKA EU PROJEKATA'!$H$3:$H$501,'ANALITIKA EU PROJEKATA'!$A$3:$A$501,"=63",'ANALITIKA EU PROJEKATA'!$Q$3:$Q$501,"=37")</f>
        <v>0</v>
      </c>
      <c r="V78" s="138">
        <f>SUMIFS('Plan rashoda za unos u SAP'!$J$3:$J$501,'Plan rashoda za unos u SAP'!$C$3:$C$501,"=71",'Plan rashoda za unos u SAP'!$N$3:$N$501,"=37")+SUMIFS('ANALITIKA EU PROJEKATA'!$H$3:$H$501,'ANALITIKA EU PROJEKATA'!$A$3:$A$501,"=71",'ANALITIKA EU PROJEKATA'!$Q$3:$Q$501,"=37")</f>
        <v>0</v>
      </c>
      <c r="W78" s="138">
        <f>SUMIFS('Plan rashoda za unos u SAP'!$J$3:$J$501,'Plan rashoda za unos u SAP'!$C$3:$C$501,"=81",'Plan rashoda za unos u SAP'!$N$3:$N$501,"=37")+SUMIFS('ANALITIKA EU PROJEKATA'!$H$3:$H$501,'ANALITIKA EU PROJEKATA'!$A$3:$A$501,"=81",'ANALITIKA EU PROJEKATA'!$Q$3:$Q$501,"=37")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211</v>
      </c>
      <c r="D79" s="133">
        <f t="shared" si="22"/>
        <v>33000</v>
      </c>
      <c r="E79" s="138">
        <f>SUMIFS('Plan rashoda za unos u SAP'!$J$3:$J$501,'Plan rashoda za unos u SAP'!$C$3:$C$501,"=11",'Plan rashoda za unos u SAP'!$N$3:$N$501,"=38")+SUMIFS('ANALITIKA EU PROJEKATA'!$H$3:$H$501,'ANALITIKA EU PROJEKATA'!$A$3:$A$501,"=11",'ANALITIKA EU PROJEKATA'!$Q$3:$Q$501,"=38")</f>
        <v>0</v>
      </c>
      <c r="F79" s="138">
        <f>SUMIFS('Plan rashoda za unos u SAP'!$J$3:$J$501,'Plan rashoda za unos u SAP'!$C$3:$C$501,"=12",'Plan rashoda za unos u SAP'!$N$3:$N$501,"=38")+SUMIFS('ANALITIKA EU PROJEKATA'!$H$3:$H$501,'ANALITIKA EU PROJEKATA'!$A$3:$A$501,"=12",'ANALITIKA EU PROJEKATA'!$Q$3:$Q$501,"=38")</f>
        <v>0</v>
      </c>
      <c r="G79" s="138">
        <f>SUMIFS('Plan rashoda za unos u SAP'!$J$3:$J$501,'Plan rashoda za unos u SAP'!$C$3:$C$501,"=31",'Plan rashoda za unos u SAP'!$N$3:$N$501,"=38")+SUMIFS('ANALITIKA EU PROJEKATA'!$H$3:$H$501,'ANALITIKA EU PROJEKATA'!$A$3:$A$501,"=31",'ANALITIKA EU PROJEKATA'!$Q$3:$Q$501,"=38")</f>
        <v>0</v>
      </c>
      <c r="H79" s="138">
        <f>SUMIFS('Plan rashoda za unos u SAP'!$J$3:$J$501,'Plan rashoda za unos u SAP'!$C$3:$C$501,"=41",'Plan rashoda za unos u SAP'!$N$3:$N$501,"=38")+SUMIFS('ANALITIKA EU PROJEKATA'!$H$3:$H$501,'ANALITIKA EU PROJEKATA'!$A$3:$A$501,"=41",'ANALITIKA EU PROJEKATA'!$Q$3:$Q$501,"=38")</f>
        <v>0</v>
      </c>
      <c r="I79" s="138">
        <f>SUMIFS('Plan rashoda za unos u SAP'!$J$3:$J$501,'Plan rashoda za unos u SAP'!$C$3:$C$501,"=43",'Plan rashoda za unos u SAP'!$N$3:$N$501,"=38")+SUMIFS('ANALITIKA EU PROJEKATA'!$H$3:$H$501,'ANALITIKA EU PROJEKATA'!$A$3:$A$501,"=43",'ANALITIKA EU PROJEKATA'!$Q$3:$Q$501,"=38")</f>
        <v>33000</v>
      </c>
      <c r="J79" s="138">
        <f>SUMIFS('Plan rashoda za unos u SAP'!$J$3:$J$501,'Plan rashoda za unos u SAP'!$C$3:$C$501,"=51",'Plan rashoda za unos u SAP'!$N$3:$N$501,"=38")+SUMIFS('ANALITIKA EU PROJEKATA'!$H$3:$H$501,'ANALITIKA EU PROJEKATA'!$A$3:$A$501,"=51",'ANALITIKA EU PROJEKATA'!$Q$3:$Q$501,"=38")</f>
        <v>0</v>
      </c>
      <c r="K79" s="138">
        <f>SUMIFS('Plan rashoda za unos u SAP'!$J$3:$J$501,'Plan rashoda za unos u SAP'!$C$3:$C$501,"=52",'Plan rashoda za unos u SAP'!$N$3:$N$501,"=38")+SUMIFS('ANALITIKA EU PROJEKATA'!$H$3:$H$501,'ANALITIKA EU PROJEKATA'!$A$3:$A$501,"=52",'ANALITIKA EU PROJEKATA'!$Q$3:$Q$501,"=38")</f>
        <v>0</v>
      </c>
      <c r="L79" s="138">
        <f>SUMIFS('Plan rashoda za unos u SAP'!$J$3:$J$501,'Plan rashoda za unos u SAP'!$C$3:$C$501,"=552",'Plan rashoda za unos u SAP'!$N$3:$N$501,"=38")+SUMIFS('ANALITIKA EU PROJEKATA'!$H$3:$H$501,'ANALITIKA EU PROJEKATA'!$A$3:$A$501,"=552",'ANALITIKA EU PROJEKATA'!$Q$3:$Q$501,"=38")</f>
        <v>0</v>
      </c>
      <c r="M79" s="138">
        <f>SUMIFS('Plan rashoda za unos u SAP'!$J$3:$J$501,'Plan rashoda za unos u SAP'!$C$3:$C$501,"=559",'Plan rashoda za unos u SAP'!$N$3:$N$501,"=38")+SUMIFS('ANALITIKA EU PROJEKATA'!$H$3:$H$501,'ANALITIKA EU PROJEKATA'!$A$3:$A$501,"=559",'ANALITIKA EU PROJEKATA'!$Q$3:$Q$501,"=38")</f>
        <v>0</v>
      </c>
      <c r="N79" s="138">
        <f>SUMIFS('Plan rashoda za unos u SAP'!$J$3:$J$501,'Plan rashoda za unos u SAP'!$C$3:$C$501,"=561",'Plan rashoda za unos u SAP'!$N$3:$N$501,"=38")+SUMIFS('ANALITIKA EU PROJEKATA'!$H$3:$H$501,'ANALITIKA EU PROJEKATA'!$A$3:$A$501,"=561",'ANALITIKA EU PROJEKATA'!$Q$3:$Q$501,"=38")</f>
        <v>0</v>
      </c>
      <c r="O79" s="138">
        <f>SUMIFS('Plan rashoda za unos u SAP'!$J$3:$J$501,'Plan rashoda za unos u SAP'!$C$3:$C$501,"=563",'Plan rashoda za unos u SAP'!$N$3:$N$501,"=38")+SUMIFS('ANALITIKA EU PROJEKATA'!$H$3:$H$501,'ANALITIKA EU PROJEKATA'!$A$3:$A$501,"=563",'ANALITIKA EU PROJEKATA'!$Q$3:$Q$501,"=38")</f>
        <v>0</v>
      </c>
      <c r="P79" s="138">
        <f>SUMIFS('Plan rashoda za unos u SAP'!$J$3:$J$501,'Plan rashoda za unos u SAP'!$C$3:$C$501,"=573",'Plan rashoda za unos u SAP'!$N$3:$N$501,"=38")+SUMIFS('ANALITIKA EU PROJEKATA'!$H$3:$H$501,'ANALITIKA EU PROJEKATA'!$A$3:$A$501,"=573",'ANALITIKA EU PROJEKATA'!$Q$3:$Q$501,"=38")</f>
        <v>0</v>
      </c>
      <c r="Q79" s="138">
        <f>SUMIFS('Plan rashoda za unos u SAP'!$J$3:$J$501,'Plan rashoda za unos u SAP'!$C$3:$C$501,"=575",'Plan rashoda za unos u SAP'!$N$3:$N$501,"=38")+SUMIFS('ANALITIKA EU PROJEKATA'!$H$3:$H$501,'ANALITIKA EU PROJEKATA'!$A$3:$A$501,"=575",'ANALITIKA EU PROJEKATA'!$Q$3:$Q$501,"=38")</f>
        <v>0</v>
      </c>
      <c r="R79" s="138">
        <f>SUMIFS('Plan rashoda za unos u SAP'!$J$3:$J$501,'Plan rashoda za unos u SAP'!$C$3:$C$501,"=576",'Plan rashoda za unos u SAP'!$N$3:$N$501,"=38")+SUMIFS('ANALITIKA EU PROJEKATA'!$H$3:$H$501,'ANALITIKA EU PROJEKATA'!$A$3:$A$501,"=576",'ANALITIKA EU PROJEKATA'!$Q$3:$Q$501,"=38")</f>
        <v>0</v>
      </c>
      <c r="S79" s="138">
        <f>SUMIFS('Plan rashoda za unos u SAP'!$J$3:$J$501,'Plan rashoda za unos u SAP'!$C$3:$C$501,"=581",'Plan rashoda za unos u SAP'!$N$3:$N$501,"=38")+SUMIFS('ANALITIKA EU PROJEKATA'!$H$3:$H$501,'ANALITIKA EU PROJEKATA'!$A$3:$A$501,"=581",'ANALITIKA EU PROJEKATA'!$Q$3:$Q$501,"=38")</f>
        <v>0</v>
      </c>
      <c r="T79" s="138">
        <f>SUMIFS('Plan rashoda za unos u SAP'!$J$3:$J$501,'Plan rashoda za unos u SAP'!$C$3:$C$501,"=61",'Plan rashoda za unos u SAP'!$N$3:$N$501,"=38")+SUMIFS('ANALITIKA EU PROJEKATA'!$H$3:$H$501,'ANALITIKA EU PROJEKATA'!$A$3:$A$501,"=61",'ANALITIKA EU PROJEKATA'!$Q$3:$Q$501,"=38")</f>
        <v>0</v>
      </c>
      <c r="U79" s="138">
        <f>SUMIFS('Plan rashoda za unos u SAP'!$J$3:$J$501,'Plan rashoda za unos u SAP'!$C$3:$C$501,"=63",'Plan rashoda za unos u SAP'!$N$3:$N$501,"=38")+SUMIFS('ANALITIKA EU PROJEKATA'!$H$3:$H$501,'ANALITIKA EU PROJEKATA'!$A$3:$A$501,"=63",'ANALITIKA EU PROJEKATA'!$Q$3:$Q$501,"=38")</f>
        <v>0</v>
      </c>
      <c r="V79" s="138">
        <f>SUMIFS('Plan rashoda za unos u SAP'!$J$3:$J$501,'Plan rashoda za unos u SAP'!$C$3:$C$501,"=71",'Plan rashoda za unos u SAP'!$N$3:$N$501,"=38")+SUMIFS('ANALITIKA EU PROJEKATA'!$H$3:$H$501,'ANALITIKA EU PROJEKATA'!$A$3:$A$501,"=71",'ANALITIKA EU PROJEKATA'!$Q$3:$Q$501,"=38")</f>
        <v>0</v>
      </c>
      <c r="W79" s="138">
        <f>SUMIFS('Plan rashoda za unos u SAP'!$J$3:$J$501,'Plan rashoda za unos u SAP'!$C$3:$C$501,"=81",'Plan rashoda za unos u SAP'!$N$3:$N$501,"=38")+SUMIFS('ANALITIKA EU PROJEKATA'!$H$3:$H$501,'ANALITIKA EU PROJEKATA'!$A$3:$A$501,"=81",'ANALITIKA EU PROJEKATA'!$Q$3:$Q$501,"=38")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213</v>
      </c>
      <c r="D80" s="126">
        <f t="shared" si="22"/>
        <v>3018000</v>
      </c>
      <c r="E80" s="131">
        <f t="shared" ref="E80:W80" si="25">SUM(E81:E85)</f>
        <v>168000</v>
      </c>
      <c r="F80" s="131">
        <f t="shared" si="25"/>
        <v>0</v>
      </c>
      <c r="G80" s="131">
        <f t="shared" si="25"/>
        <v>208000</v>
      </c>
      <c r="H80" s="131">
        <f>SUM(H81:H85)</f>
        <v>0</v>
      </c>
      <c r="I80" s="131">
        <f t="shared" si="25"/>
        <v>2496500</v>
      </c>
      <c r="J80" s="131">
        <f t="shared" si="25"/>
        <v>0</v>
      </c>
      <c r="K80" s="131">
        <f t="shared" si="25"/>
        <v>145500</v>
      </c>
      <c r="L80" s="131">
        <f>SUM(L81:L85)</f>
        <v>0</v>
      </c>
      <c r="M80" s="131">
        <f t="shared" si="25"/>
        <v>0</v>
      </c>
      <c r="N80" s="131">
        <f t="shared" si="25"/>
        <v>0</v>
      </c>
      <c r="O80" s="131">
        <f t="shared" si="25"/>
        <v>0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>SUM(S81:S85)</f>
        <v>0</v>
      </c>
      <c r="T80" s="131">
        <f t="shared" si="25"/>
        <v>0</v>
      </c>
      <c r="U80" s="131">
        <f t="shared" si="25"/>
        <v>0</v>
      </c>
      <c r="V80" s="131">
        <f t="shared" si="25"/>
        <v>0</v>
      </c>
      <c r="W80" s="131">
        <f t="shared" si="25"/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333</v>
      </c>
      <c r="D81" s="133">
        <f t="shared" si="22"/>
        <v>0</v>
      </c>
      <c r="E81" s="138">
        <f>SUMIFS('Plan rashoda za unos u SAP'!$J$3:$J$501,'Plan rashoda za unos u SAP'!$C$3:$C$501,"=11",'Plan rashoda za unos u SAP'!$N$3:$N$501,"=41")+SUMIFS('ANALITIKA EU PROJEKATA'!$H$3:$H$501,'ANALITIKA EU PROJEKATA'!$A$3:$A$501,"=11",'ANALITIKA EU PROJEKATA'!$Q$3:$Q$501,"=41")</f>
        <v>0</v>
      </c>
      <c r="F81" s="138">
        <f>SUMIFS('Plan rashoda za unos u SAP'!$J$3:$J$501,'Plan rashoda za unos u SAP'!$C$3:$C$501,"=12",'Plan rashoda za unos u SAP'!$N$3:$N$501,"=41")+SUMIFS('ANALITIKA EU PROJEKATA'!$H$3:$H$501,'ANALITIKA EU PROJEKATA'!$A$3:$A$501,"=12",'ANALITIKA EU PROJEKATA'!$Q$3:$Q$501,"=41")</f>
        <v>0</v>
      </c>
      <c r="G81" s="138">
        <f>SUMIFS('Plan rashoda za unos u SAP'!$J$3:$J$501,'Plan rashoda za unos u SAP'!$C$3:$C$501,"=31",'Plan rashoda za unos u SAP'!$N$3:$N$501,"=41")+SUMIFS('ANALITIKA EU PROJEKATA'!$H$3:$H$501,'ANALITIKA EU PROJEKATA'!$A$3:$A$501,"=31",'ANALITIKA EU PROJEKATA'!$Q$3:$Q$501,"=41")</f>
        <v>0</v>
      </c>
      <c r="H81" s="138">
        <f>SUMIFS('Plan rashoda za unos u SAP'!$J$3:$J$501,'Plan rashoda za unos u SAP'!$C$3:$C$501,"=41",'Plan rashoda za unos u SAP'!$N$3:$N$501,"=41")+SUMIFS('ANALITIKA EU PROJEKATA'!$H$3:$H$501,'ANALITIKA EU PROJEKATA'!$A$3:$A$501,"=41",'ANALITIKA EU PROJEKATA'!$Q$3:$Q$501,"=41")</f>
        <v>0</v>
      </c>
      <c r="I81" s="138">
        <f>SUMIFS('Plan rashoda za unos u SAP'!$J$3:$J$501,'Plan rashoda za unos u SAP'!$C$3:$C$501,"=43",'Plan rashoda za unos u SAP'!$N$3:$N$501,"=41")+SUMIFS('ANALITIKA EU PROJEKATA'!$H$3:$H$501,'ANALITIKA EU PROJEKATA'!$A$3:$A$501,"=43",'ANALITIKA EU PROJEKATA'!$Q$3:$Q$501,"=41")</f>
        <v>0</v>
      </c>
      <c r="J81" s="138">
        <f>SUMIFS('Plan rashoda za unos u SAP'!$J$3:$J$501,'Plan rashoda za unos u SAP'!$C$3:$C$501,"=51",'Plan rashoda za unos u SAP'!$N$3:$N$501,"=41")+SUMIFS('ANALITIKA EU PROJEKATA'!$H$3:$H$501,'ANALITIKA EU PROJEKATA'!$A$3:$A$501,"=51",'ANALITIKA EU PROJEKATA'!$Q$3:$Q$501,"=41")</f>
        <v>0</v>
      </c>
      <c r="K81" s="138">
        <f>SUMIFS('Plan rashoda za unos u SAP'!$J$3:$J$501,'Plan rashoda za unos u SAP'!$C$3:$C$501,"=52",'Plan rashoda za unos u SAP'!$N$3:$N$501,"=41")+SUMIFS('ANALITIKA EU PROJEKATA'!$H$3:$H$501,'ANALITIKA EU PROJEKATA'!$A$3:$A$501,"=52",'ANALITIKA EU PROJEKATA'!$Q$3:$Q$501,"=41")</f>
        <v>0</v>
      </c>
      <c r="L81" s="138">
        <f>SUMIFS('Plan rashoda za unos u SAP'!$J$3:$J$501,'Plan rashoda za unos u SAP'!$C$3:$C$501,"=552",'Plan rashoda za unos u SAP'!$N$3:$N$501,"=41")+SUMIFS('ANALITIKA EU PROJEKATA'!$H$3:$H$501,'ANALITIKA EU PROJEKATA'!$A$3:$A$501,"=552",'ANALITIKA EU PROJEKATA'!$Q$3:$Q$501,"=41")</f>
        <v>0</v>
      </c>
      <c r="M81" s="138">
        <f>SUMIFS('Plan rashoda za unos u SAP'!$J$3:$J$501,'Plan rashoda za unos u SAP'!$C$3:$C$501,"=559",'Plan rashoda za unos u SAP'!$N$3:$N$501,"=41")+SUMIFS('ANALITIKA EU PROJEKATA'!$H$3:$H$501,'ANALITIKA EU PROJEKATA'!$A$3:$A$501,"=559",'ANALITIKA EU PROJEKATA'!$Q$3:$Q$501,"=41")</f>
        <v>0</v>
      </c>
      <c r="N81" s="138">
        <f>SUMIFS('Plan rashoda za unos u SAP'!$J$3:$J$501,'Plan rashoda za unos u SAP'!$C$3:$C$501,"=561",'Plan rashoda za unos u SAP'!$N$3:$N$501,"=41")+SUMIFS('ANALITIKA EU PROJEKATA'!$H$3:$H$501,'ANALITIKA EU PROJEKATA'!$A$3:$A$501,"=561",'ANALITIKA EU PROJEKATA'!$Q$3:$Q$501,"=41")</f>
        <v>0</v>
      </c>
      <c r="O81" s="138">
        <f>SUMIFS('Plan rashoda za unos u SAP'!$J$3:$J$501,'Plan rashoda za unos u SAP'!$C$3:$C$501,"=563",'Plan rashoda za unos u SAP'!$N$3:$N$501,"=41")+SUMIFS('ANALITIKA EU PROJEKATA'!$H$3:$H$501,'ANALITIKA EU PROJEKATA'!$A$3:$A$501,"=563",'ANALITIKA EU PROJEKATA'!$Q$3:$Q$501,"=41")</f>
        <v>0</v>
      </c>
      <c r="P81" s="138">
        <f>SUMIFS('Plan rashoda za unos u SAP'!$J$3:$J$501,'Plan rashoda za unos u SAP'!$C$3:$C$501,"=573",'Plan rashoda za unos u SAP'!$N$3:$N$501,"=41")+SUMIFS('ANALITIKA EU PROJEKATA'!$H$3:$H$501,'ANALITIKA EU PROJEKATA'!$A$3:$A$501,"=573",'ANALITIKA EU PROJEKATA'!$Q$3:$Q$501,"=41")</f>
        <v>0</v>
      </c>
      <c r="Q81" s="138">
        <f>SUMIFS('Plan rashoda za unos u SAP'!$J$3:$J$501,'Plan rashoda za unos u SAP'!$C$3:$C$501,"=575",'Plan rashoda za unos u SAP'!$N$3:$N$501,"=41")+SUMIFS('ANALITIKA EU PROJEKATA'!$H$3:$H$501,'ANALITIKA EU PROJEKATA'!$A$3:$A$501,"=575",'ANALITIKA EU PROJEKATA'!$Q$3:$Q$501,"=41")</f>
        <v>0</v>
      </c>
      <c r="R81" s="138">
        <f>SUMIFS('Plan rashoda za unos u SAP'!$J$3:$J$501,'Plan rashoda za unos u SAP'!$C$3:$C$501,"=576",'Plan rashoda za unos u SAP'!$N$3:$N$501,"=41")+SUMIFS('ANALITIKA EU PROJEKATA'!$H$3:$H$501,'ANALITIKA EU PROJEKATA'!$A$3:$A$501,"=576",'ANALITIKA EU PROJEKATA'!$Q$3:$Q$501,"=41")</f>
        <v>0</v>
      </c>
      <c r="S81" s="138">
        <f>SUMIFS('Plan rashoda za unos u SAP'!$J$3:$J$501,'Plan rashoda za unos u SAP'!$C$3:$C$501,"=581",'Plan rashoda za unos u SAP'!$N$3:$N$501,"=41")+SUMIFS('ANALITIKA EU PROJEKATA'!$H$3:$H$501,'ANALITIKA EU PROJEKATA'!$A$3:$A$501,"=581",'ANALITIKA EU PROJEKATA'!$Q$3:$Q$501,"=41")</f>
        <v>0</v>
      </c>
      <c r="T81" s="138">
        <f>SUMIFS('Plan rashoda za unos u SAP'!$J$3:$J$501,'Plan rashoda za unos u SAP'!$C$3:$C$501,"=61",'Plan rashoda za unos u SAP'!$N$3:$N$501,"=41")+SUMIFS('ANALITIKA EU PROJEKATA'!$H$3:$H$501,'ANALITIKA EU PROJEKATA'!$A$3:$A$501,"=61",'ANALITIKA EU PROJEKATA'!$Q$3:$Q$501,"=41")</f>
        <v>0</v>
      </c>
      <c r="U81" s="138">
        <f>SUMIFS('Plan rashoda za unos u SAP'!$J$3:$J$501,'Plan rashoda za unos u SAP'!$C$3:$C$501,"=63",'Plan rashoda za unos u SAP'!$N$3:$N$501,"=41")+SUMIFS('ANALITIKA EU PROJEKATA'!$H$3:$H$501,'ANALITIKA EU PROJEKATA'!$A$3:$A$501,"=63",'ANALITIKA EU PROJEKATA'!$Q$3:$Q$501,"=41")</f>
        <v>0</v>
      </c>
      <c r="V81" s="138">
        <f>SUMIFS('Plan rashoda za unos u SAP'!$J$3:$J$501,'Plan rashoda za unos u SAP'!$C$3:$C$501,"=71",'Plan rashoda za unos u SAP'!$N$3:$N$501,"=41")+SUMIFS('ANALITIKA EU PROJEKATA'!$H$3:$H$501,'ANALITIKA EU PROJEKATA'!$A$3:$A$501,"=71",'ANALITIKA EU PROJEKATA'!$Q$3:$Q$501,"=41")</f>
        <v>0</v>
      </c>
      <c r="W81" s="138">
        <f>SUMIFS('Plan rashoda za unos u SAP'!$J$3:$J$501,'Plan rashoda za unos u SAP'!$C$3:$C$501,"=81",'Plan rashoda za unos u SAP'!$N$3:$N$501,"=41")+SUMIFS('ANALITIKA EU PROJEKATA'!$H$3:$H$501,'ANALITIKA EU PROJEKATA'!$A$3:$A$501,"=81",'ANALITIKA EU PROJEKATA'!$Q$3:$Q$501,"=41")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255</v>
      </c>
      <c r="D82" s="133">
        <f t="shared" si="22"/>
        <v>518000</v>
      </c>
      <c r="E82" s="138">
        <f>SUMIFS('Plan rashoda za unos u SAP'!$J$3:$J$501,'Plan rashoda za unos u SAP'!$C$3:$C$501,"=11",'Plan rashoda za unos u SAP'!$N$3:$N$501,"=42")+SUMIFS('ANALITIKA EU PROJEKATA'!$H$3:$H$501,'ANALITIKA EU PROJEKATA'!$A$3:$A$501,"=11",'ANALITIKA EU PROJEKATA'!$Q$3:$Q$501,"=42")</f>
        <v>168000</v>
      </c>
      <c r="F82" s="138">
        <f>SUMIFS('Plan rashoda za unos u SAP'!$J$3:$J$501,'Plan rashoda za unos u SAP'!$C$3:$C$501,"=12",'Plan rashoda za unos u SAP'!$N$3:$N$501,"=42")+SUMIFS('ANALITIKA EU PROJEKATA'!$H$3:$H$501,'ANALITIKA EU PROJEKATA'!$A$3:$A$501,"=12",'ANALITIKA EU PROJEKATA'!$Q$3:$Q$501,"=42")</f>
        <v>0</v>
      </c>
      <c r="G82" s="138">
        <f>SUMIFS('Plan rashoda za unos u SAP'!$J$3:$J$501,'Plan rashoda za unos u SAP'!$C$3:$C$501,"=31",'Plan rashoda za unos u SAP'!$N$3:$N$501,"=42")+SUMIFS('ANALITIKA EU PROJEKATA'!$H$3:$H$501,'ANALITIKA EU PROJEKATA'!$A$3:$A$501,"=31",'ANALITIKA EU PROJEKATA'!$Q$3:$Q$501,"=42")</f>
        <v>208000</v>
      </c>
      <c r="H82" s="138">
        <f>SUMIFS('Plan rashoda za unos u SAP'!$J$3:$J$501,'Plan rashoda za unos u SAP'!$C$3:$C$501,"=41",'Plan rashoda za unos u SAP'!$N$3:$N$501,"=42")+SUMIFS('ANALITIKA EU PROJEKATA'!$H$3:$H$501,'ANALITIKA EU PROJEKATA'!$A$3:$A$501,"=41",'ANALITIKA EU PROJEKATA'!$Q$3:$Q$501,"=42")</f>
        <v>0</v>
      </c>
      <c r="I82" s="138">
        <f>SUMIFS('Plan rashoda za unos u SAP'!$J$3:$J$501,'Plan rashoda za unos u SAP'!$C$3:$C$501,"=43",'Plan rashoda za unos u SAP'!$N$3:$N$501,"=42")+SUMIFS('ANALITIKA EU PROJEKATA'!$H$3:$H$501,'ANALITIKA EU PROJEKATA'!$A$3:$A$501,"=43",'ANALITIKA EU PROJEKATA'!$Q$3:$Q$501,"=42")</f>
        <v>142000</v>
      </c>
      <c r="J82" s="138">
        <f>SUMIFS('Plan rashoda za unos u SAP'!$J$3:$J$501,'Plan rashoda za unos u SAP'!$C$3:$C$501,"=51",'Plan rashoda za unos u SAP'!$N$3:$N$501,"=42")+SUMIFS('ANALITIKA EU PROJEKATA'!$H$3:$H$501,'ANALITIKA EU PROJEKATA'!$A$3:$A$501,"=51",'ANALITIKA EU PROJEKATA'!$Q$3:$Q$501,"=42")</f>
        <v>0</v>
      </c>
      <c r="K82" s="138">
        <f>SUMIFS('Plan rashoda za unos u SAP'!$J$3:$J$501,'Plan rashoda za unos u SAP'!$C$3:$C$501,"=52",'Plan rashoda za unos u SAP'!$N$3:$N$501,"=42")+SUMIFS('ANALITIKA EU PROJEKATA'!$H$3:$H$501,'ANALITIKA EU PROJEKATA'!$A$3:$A$501,"=52",'ANALITIKA EU PROJEKATA'!$Q$3:$Q$501,"=42")</f>
        <v>0</v>
      </c>
      <c r="L82" s="138">
        <f>SUMIFS('Plan rashoda za unos u SAP'!$J$3:$J$501,'Plan rashoda za unos u SAP'!$C$3:$C$501,"=552",'Plan rashoda za unos u SAP'!$N$3:$N$501,"=42")+SUMIFS('ANALITIKA EU PROJEKATA'!$H$3:$H$501,'ANALITIKA EU PROJEKATA'!$A$3:$A$501,"=552",'ANALITIKA EU PROJEKATA'!$Q$3:$Q$501,"=42")</f>
        <v>0</v>
      </c>
      <c r="M82" s="138">
        <f>SUMIFS('Plan rashoda za unos u SAP'!$J$3:$J$501,'Plan rashoda za unos u SAP'!$C$3:$C$501,"=559",'Plan rashoda za unos u SAP'!$N$3:$N$501,"=42")+SUMIFS('ANALITIKA EU PROJEKATA'!$H$3:$H$501,'ANALITIKA EU PROJEKATA'!$A$3:$A$501,"=559",'ANALITIKA EU PROJEKATA'!$Q$3:$Q$501,"=42")</f>
        <v>0</v>
      </c>
      <c r="N82" s="138">
        <f>SUMIFS('Plan rashoda za unos u SAP'!$J$3:$J$501,'Plan rashoda za unos u SAP'!$C$3:$C$501,"=561",'Plan rashoda za unos u SAP'!$N$3:$N$501,"=42")+SUMIFS('ANALITIKA EU PROJEKATA'!$H$3:$H$501,'ANALITIKA EU PROJEKATA'!$A$3:$A$501,"=561",'ANALITIKA EU PROJEKATA'!$Q$3:$Q$501,"=42")</f>
        <v>0</v>
      </c>
      <c r="O82" s="138">
        <f>SUMIFS('Plan rashoda za unos u SAP'!$J$3:$J$501,'Plan rashoda za unos u SAP'!$C$3:$C$501,"=563",'Plan rashoda za unos u SAP'!$N$3:$N$501,"=42")+SUMIFS('ANALITIKA EU PROJEKATA'!$H$3:$H$501,'ANALITIKA EU PROJEKATA'!$A$3:$A$501,"=563",'ANALITIKA EU PROJEKATA'!$Q$3:$Q$501,"=42")</f>
        <v>0</v>
      </c>
      <c r="P82" s="138">
        <f>SUMIFS('Plan rashoda za unos u SAP'!$J$3:$J$501,'Plan rashoda za unos u SAP'!$C$3:$C$501,"=573",'Plan rashoda za unos u SAP'!$N$3:$N$501,"=42")+SUMIFS('ANALITIKA EU PROJEKATA'!$H$3:$H$501,'ANALITIKA EU PROJEKATA'!$A$3:$A$501,"=573",'ANALITIKA EU PROJEKATA'!$Q$3:$Q$501,"=42")</f>
        <v>0</v>
      </c>
      <c r="Q82" s="138">
        <f>SUMIFS('Plan rashoda za unos u SAP'!$J$3:$J$501,'Plan rashoda za unos u SAP'!$C$3:$C$501,"=575",'Plan rashoda za unos u SAP'!$N$3:$N$501,"=42")+SUMIFS('ANALITIKA EU PROJEKATA'!$H$3:$H$501,'ANALITIKA EU PROJEKATA'!$A$3:$A$501,"=575",'ANALITIKA EU PROJEKATA'!$Q$3:$Q$501,"=42")</f>
        <v>0</v>
      </c>
      <c r="R82" s="138">
        <f>SUMIFS('Plan rashoda za unos u SAP'!$J$3:$J$501,'Plan rashoda za unos u SAP'!$C$3:$C$501,"=576",'Plan rashoda za unos u SAP'!$N$3:$N$501,"=42")+SUMIFS('ANALITIKA EU PROJEKATA'!$H$3:$H$501,'ANALITIKA EU PROJEKATA'!$A$3:$A$501,"=576",'ANALITIKA EU PROJEKATA'!$Q$3:$Q$501,"=42")</f>
        <v>0</v>
      </c>
      <c r="S82" s="138">
        <f>SUMIFS('Plan rashoda za unos u SAP'!$J$3:$J$501,'Plan rashoda za unos u SAP'!$C$3:$C$501,"=581",'Plan rashoda za unos u SAP'!$N$3:$N$501,"=42")+SUMIFS('ANALITIKA EU PROJEKATA'!$H$3:$H$501,'ANALITIKA EU PROJEKATA'!$A$3:$A$501,"=581",'ANALITIKA EU PROJEKATA'!$Q$3:$Q$501,"=42")</f>
        <v>0</v>
      </c>
      <c r="T82" s="138">
        <f>SUMIFS('Plan rashoda za unos u SAP'!$J$3:$J$501,'Plan rashoda za unos u SAP'!$C$3:$C$501,"=61",'Plan rashoda za unos u SAP'!$N$3:$N$501,"=42")+SUMIFS('ANALITIKA EU PROJEKATA'!$H$3:$H$501,'ANALITIKA EU PROJEKATA'!$A$3:$A$501,"=61",'ANALITIKA EU PROJEKATA'!$Q$3:$Q$501,"=42")</f>
        <v>0</v>
      </c>
      <c r="U82" s="138">
        <f>SUMIFS('Plan rashoda za unos u SAP'!$J$3:$J$501,'Plan rashoda za unos u SAP'!$C$3:$C$501,"=63",'Plan rashoda za unos u SAP'!$N$3:$N$501,"=42")+SUMIFS('ANALITIKA EU PROJEKATA'!$H$3:$H$501,'ANALITIKA EU PROJEKATA'!$A$3:$A$501,"=63",'ANALITIKA EU PROJEKATA'!$Q$3:$Q$501,"=42")</f>
        <v>0</v>
      </c>
      <c r="V82" s="138">
        <f>SUMIFS('Plan rashoda za unos u SAP'!$J$3:$J$501,'Plan rashoda za unos u SAP'!$C$3:$C$501,"=71",'Plan rashoda za unos u SAP'!$N$3:$N$501,"=42")+SUMIFS('ANALITIKA EU PROJEKATA'!$H$3:$H$501,'ANALITIKA EU PROJEKATA'!$A$3:$A$501,"=71",'ANALITIKA EU PROJEKATA'!$Q$3:$Q$501,"=42")</f>
        <v>0</v>
      </c>
      <c r="W82" s="138">
        <f>SUMIFS('Plan rashoda za unos u SAP'!$J$3:$J$501,'Plan rashoda za unos u SAP'!$C$3:$C$501,"=81",'Plan rashoda za unos u SAP'!$N$3:$N$501,"=42")+SUMIFS('ANALITIKA EU PROJEKATA'!$H$3:$H$501,'ANALITIKA EU PROJEKATA'!$A$3:$A$501,"=81",'ANALITIKA EU PROJEKATA'!$Q$3:$Q$501,"=42")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337</v>
      </c>
      <c r="D83" s="133">
        <f t="shared" si="22"/>
        <v>0</v>
      </c>
      <c r="E83" s="138">
        <f>SUMIFS('Plan rashoda za unos u SAP'!$J$3:$J$501,'Plan rashoda za unos u SAP'!$C$3:$C$501,"=11",'Plan rashoda za unos u SAP'!$N$3:$N$501,"=43")+SUMIFS('ANALITIKA EU PROJEKATA'!$H$3:$H$501,'ANALITIKA EU PROJEKATA'!$A$3:$A$501,"=11",'ANALITIKA EU PROJEKATA'!$Q$3:$Q$501,"=43")</f>
        <v>0</v>
      </c>
      <c r="F83" s="138">
        <f>SUMIFS('Plan rashoda za unos u SAP'!$J$3:$J$501,'Plan rashoda za unos u SAP'!$C$3:$C$501,"=12",'Plan rashoda za unos u SAP'!$N$3:$N$501,"=43")+SUMIFS('ANALITIKA EU PROJEKATA'!$H$3:$H$501,'ANALITIKA EU PROJEKATA'!$A$3:$A$501,"=12",'ANALITIKA EU PROJEKATA'!$Q$3:$Q$501,"=43")</f>
        <v>0</v>
      </c>
      <c r="G83" s="138">
        <f>SUMIFS('Plan rashoda za unos u SAP'!$J$3:$J$501,'Plan rashoda za unos u SAP'!$C$3:$C$501,"=31",'Plan rashoda za unos u SAP'!$N$3:$N$501,"=43")+SUMIFS('ANALITIKA EU PROJEKATA'!$H$3:$H$501,'ANALITIKA EU PROJEKATA'!$A$3:$A$501,"=31",'ANALITIKA EU PROJEKATA'!$Q$3:$Q$501,"=43")</f>
        <v>0</v>
      </c>
      <c r="H83" s="138">
        <f>SUMIFS('Plan rashoda za unos u SAP'!$J$3:$J$501,'Plan rashoda za unos u SAP'!$C$3:$C$501,"=41",'Plan rashoda za unos u SAP'!$N$3:$N$501,"=43")+SUMIFS('ANALITIKA EU PROJEKATA'!$H$3:$H$501,'ANALITIKA EU PROJEKATA'!$A$3:$A$501,"=41",'ANALITIKA EU PROJEKATA'!$Q$3:$Q$501,"=43")</f>
        <v>0</v>
      </c>
      <c r="I83" s="138">
        <f>SUMIFS('Plan rashoda za unos u SAP'!$J$3:$J$501,'Plan rashoda za unos u SAP'!$C$3:$C$501,"=43",'Plan rashoda za unos u SAP'!$N$3:$N$501,"=43")+SUMIFS('ANALITIKA EU PROJEKATA'!$H$3:$H$501,'ANALITIKA EU PROJEKATA'!$A$3:$A$501,"=43",'ANALITIKA EU PROJEKATA'!$Q$3:$Q$501,"=43")</f>
        <v>0</v>
      </c>
      <c r="J83" s="138">
        <f>SUMIFS('Plan rashoda za unos u SAP'!$J$3:$J$501,'Plan rashoda za unos u SAP'!$C$3:$C$501,"=51",'Plan rashoda za unos u SAP'!$N$3:$N$501,"=43")+SUMIFS('ANALITIKA EU PROJEKATA'!$H$3:$H$501,'ANALITIKA EU PROJEKATA'!$A$3:$A$501,"=51",'ANALITIKA EU PROJEKATA'!$Q$3:$Q$501,"=43")</f>
        <v>0</v>
      </c>
      <c r="K83" s="138">
        <f>SUMIFS('Plan rashoda za unos u SAP'!$J$3:$J$501,'Plan rashoda za unos u SAP'!$C$3:$C$501,"=52",'Plan rashoda za unos u SAP'!$N$3:$N$501,"=43")+SUMIFS('ANALITIKA EU PROJEKATA'!$H$3:$H$501,'ANALITIKA EU PROJEKATA'!$A$3:$A$501,"=52",'ANALITIKA EU PROJEKATA'!$Q$3:$Q$501,"=43")</f>
        <v>0</v>
      </c>
      <c r="L83" s="138">
        <f>SUMIFS('Plan rashoda za unos u SAP'!$J$3:$J$501,'Plan rashoda za unos u SAP'!$C$3:$C$501,"=552",'Plan rashoda za unos u SAP'!$N$3:$N$501,"=43")+SUMIFS('ANALITIKA EU PROJEKATA'!$H$3:$H$501,'ANALITIKA EU PROJEKATA'!$A$3:$A$501,"=552",'ANALITIKA EU PROJEKATA'!$Q$3:$Q$501,"=43")</f>
        <v>0</v>
      </c>
      <c r="M83" s="138">
        <f>SUMIFS('Plan rashoda za unos u SAP'!$J$3:$J$501,'Plan rashoda za unos u SAP'!$C$3:$C$501,"=559",'Plan rashoda za unos u SAP'!$N$3:$N$501,"=43")+SUMIFS('ANALITIKA EU PROJEKATA'!$H$3:$H$501,'ANALITIKA EU PROJEKATA'!$A$3:$A$501,"=559",'ANALITIKA EU PROJEKATA'!$Q$3:$Q$501,"=43")</f>
        <v>0</v>
      </c>
      <c r="N83" s="138">
        <f>SUMIFS('Plan rashoda za unos u SAP'!$J$3:$J$501,'Plan rashoda za unos u SAP'!$C$3:$C$501,"=561",'Plan rashoda za unos u SAP'!$N$3:$N$501,"=43")+SUMIFS('ANALITIKA EU PROJEKATA'!$H$3:$H$501,'ANALITIKA EU PROJEKATA'!$A$3:$A$501,"=561",'ANALITIKA EU PROJEKATA'!$Q$3:$Q$501,"=43")</f>
        <v>0</v>
      </c>
      <c r="O83" s="138">
        <f>SUMIFS('Plan rashoda za unos u SAP'!$J$3:$J$501,'Plan rashoda za unos u SAP'!$C$3:$C$501,"=563",'Plan rashoda za unos u SAP'!$N$3:$N$501,"=43")+SUMIFS('ANALITIKA EU PROJEKATA'!$H$3:$H$501,'ANALITIKA EU PROJEKATA'!$A$3:$A$501,"=563",'ANALITIKA EU PROJEKATA'!$Q$3:$Q$501,"=43")</f>
        <v>0</v>
      </c>
      <c r="P83" s="138">
        <f>SUMIFS('Plan rashoda za unos u SAP'!$J$3:$J$501,'Plan rashoda za unos u SAP'!$C$3:$C$501,"=573",'Plan rashoda za unos u SAP'!$N$3:$N$501,"=43")+SUMIFS('ANALITIKA EU PROJEKATA'!$H$3:$H$501,'ANALITIKA EU PROJEKATA'!$A$3:$A$501,"=573",'ANALITIKA EU PROJEKATA'!$Q$3:$Q$501,"=43")</f>
        <v>0</v>
      </c>
      <c r="Q83" s="138">
        <f>SUMIFS('Plan rashoda za unos u SAP'!$J$3:$J$501,'Plan rashoda za unos u SAP'!$C$3:$C$501,"=575",'Plan rashoda za unos u SAP'!$N$3:$N$501,"=43")+SUMIFS('ANALITIKA EU PROJEKATA'!$H$3:$H$501,'ANALITIKA EU PROJEKATA'!$A$3:$A$501,"=575",'ANALITIKA EU PROJEKATA'!$Q$3:$Q$501,"=43")</f>
        <v>0</v>
      </c>
      <c r="R83" s="138">
        <f>SUMIFS('Plan rashoda za unos u SAP'!$J$3:$J$501,'Plan rashoda za unos u SAP'!$C$3:$C$501,"=576",'Plan rashoda za unos u SAP'!$N$3:$N$501,"=43")+SUMIFS('ANALITIKA EU PROJEKATA'!$H$3:$H$501,'ANALITIKA EU PROJEKATA'!$A$3:$A$501,"=576",'ANALITIKA EU PROJEKATA'!$Q$3:$Q$501,"=43")</f>
        <v>0</v>
      </c>
      <c r="S83" s="138">
        <f>SUMIFS('Plan rashoda za unos u SAP'!$J$3:$J$501,'Plan rashoda za unos u SAP'!$C$3:$C$501,"=581",'Plan rashoda za unos u SAP'!$N$3:$N$501,"=43")+SUMIFS('ANALITIKA EU PROJEKATA'!$H$3:$H$501,'ANALITIKA EU PROJEKATA'!$A$3:$A$501,"=581",'ANALITIKA EU PROJEKATA'!$Q$3:$Q$501,"=43")</f>
        <v>0</v>
      </c>
      <c r="T83" s="138">
        <f>SUMIFS('Plan rashoda za unos u SAP'!$J$3:$J$501,'Plan rashoda za unos u SAP'!$C$3:$C$501,"=61",'Plan rashoda za unos u SAP'!$N$3:$N$501,"=43")+SUMIFS('ANALITIKA EU PROJEKATA'!$H$3:$H$501,'ANALITIKA EU PROJEKATA'!$A$3:$A$501,"=61",'ANALITIKA EU PROJEKATA'!$Q$3:$Q$501,"=43")</f>
        <v>0</v>
      </c>
      <c r="U83" s="138">
        <f>SUMIFS('Plan rashoda za unos u SAP'!$J$3:$J$501,'Plan rashoda za unos u SAP'!$C$3:$C$501,"=63",'Plan rashoda za unos u SAP'!$N$3:$N$501,"=43")+SUMIFS('ANALITIKA EU PROJEKATA'!$H$3:$H$501,'ANALITIKA EU PROJEKATA'!$A$3:$A$501,"=63",'ANALITIKA EU PROJEKATA'!$Q$3:$Q$501,"=43")</f>
        <v>0</v>
      </c>
      <c r="V83" s="138">
        <f>SUMIFS('Plan rashoda za unos u SAP'!$J$3:$J$501,'Plan rashoda za unos u SAP'!$C$3:$C$501,"=71",'Plan rashoda za unos u SAP'!$N$3:$N$501,"=43")+SUMIFS('ANALITIKA EU PROJEKATA'!$H$3:$H$501,'ANALITIKA EU PROJEKATA'!$A$3:$A$501,"=71",'ANALITIKA EU PROJEKATA'!$Q$3:$Q$501,"=43")</f>
        <v>0</v>
      </c>
      <c r="W83" s="138">
        <f>SUMIFS('Plan rashoda za unos u SAP'!$J$3:$J$501,'Plan rashoda za unos u SAP'!$C$3:$C$501,"=81",'Plan rashoda za unos u SAP'!$N$3:$N$501,"=43")+SUMIFS('ANALITIKA EU PROJEKATA'!$H$3:$H$501,'ANALITIKA EU PROJEKATA'!$A$3:$A$501,"=81",'ANALITIKA EU PROJEKATA'!$Q$3:$Q$501,"=43")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338</v>
      </c>
      <c r="D84" s="133">
        <f t="shared" si="22"/>
        <v>0</v>
      </c>
      <c r="E84" s="138">
        <f>SUMIFS('Plan rashoda za unos u SAP'!$J$3:$J$501,'Plan rashoda za unos u SAP'!$C$3:$C$501,"=11",'Plan rashoda za unos u SAP'!$N$3:$N$501,"=44")+SUMIFS('ANALITIKA EU PROJEKATA'!$H$3:$H$501,'ANALITIKA EU PROJEKATA'!$A$3:$A$501,"=11",'ANALITIKA EU PROJEKATA'!$Q$3:$Q$501,"=44")</f>
        <v>0</v>
      </c>
      <c r="F84" s="138">
        <f>SUMIFS('Plan rashoda za unos u SAP'!$J$3:$J$501,'Plan rashoda za unos u SAP'!$C$3:$C$501,"=12",'Plan rashoda za unos u SAP'!$N$3:$N$501,"=44")+SUMIFS('ANALITIKA EU PROJEKATA'!$H$3:$H$501,'ANALITIKA EU PROJEKATA'!$A$3:$A$501,"=12",'ANALITIKA EU PROJEKATA'!$Q$3:$Q$501,"=44")</f>
        <v>0</v>
      </c>
      <c r="G84" s="138">
        <f>SUMIFS('Plan rashoda za unos u SAP'!$J$3:$J$501,'Plan rashoda za unos u SAP'!$C$3:$C$501,"=31",'Plan rashoda za unos u SAP'!$N$3:$N$501,"=44")+SUMIFS('ANALITIKA EU PROJEKATA'!$H$3:$H$501,'ANALITIKA EU PROJEKATA'!$A$3:$A$501,"=31",'ANALITIKA EU PROJEKATA'!$Q$3:$Q$501,"=44")</f>
        <v>0</v>
      </c>
      <c r="H84" s="138">
        <f>SUMIFS('Plan rashoda za unos u SAP'!$J$3:$J$501,'Plan rashoda za unos u SAP'!$C$3:$C$501,"=41",'Plan rashoda za unos u SAP'!$N$3:$N$501,"=44")+SUMIFS('ANALITIKA EU PROJEKATA'!$H$3:$H$501,'ANALITIKA EU PROJEKATA'!$A$3:$A$501,"=41",'ANALITIKA EU PROJEKATA'!$Q$3:$Q$501,"=44")</f>
        <v>0</v>
      </c>
      <c r="I84" s="138">
        <f>SUMIFS('Plan rashoda za unos u SAP'!$J$3:$J$501,'Plan rashoda za unos u SAP'!$C$3:$C$501,"=43",'Plan rashoda za unos u SAP'!$N$3:$N$501,"=44")+SUMIFS('ANALITIKA EU PROJEKATA'!$H$3:$H$501,'ANALITIKA EU PROJEKATA'!$A$3:$A$501,"=43",'ANALITIKA EU PROJEKATA'!$Q$3:$Q$501,"=44")</f>
        <v>0</v>
      </c>
      <c r="J84" s="138">
        <f>SUMIFS('Plan rashoda za unos u SAP'!$J$3:$J$501,'Plan rashoda za unos u SAP'!$C$3:$C$501,"=51",'Plan rashoda za unos u SAP'!$N$3:$N$501,"=44")+SUMIFS('ANALITIKA EU PROJEKATA'!$H$3:$H$501,'ANALITIKA EU PROJEKATA'!$A$3:$A$501,"=51",'ANALITIKA EU PROJEKATA'!$Q$3:$Q$501,"=44")</f>
        <v>0</v>
      </c>
      <c r="K84" s="138">
        <f>SUMIFS('Plan rashoda za unos u SAP'!$J$3:$J$501,'Plan rashoda za unos u SAP'!$C$3:$C$501,"=52",'Plan rashoda za unos u SAP'!$N$3:$N$501,"=44")+SUMIFS('ANALITIKA EU PROJEKATA'!$H$3:$H$501,'ANALITIKA EU PROJEKATA'!$A$3:$A$501,"=52",'ANALITIKA EU PROJEKATA'!$Q$3:$Q$501,"=44")</f>
        <v>0</v>
      </c>
      <c r="L84" s="138">
        <f>SUMIFS('Plan rashoda za unos u SAP'!$J$3:$J$501,'Plan rashoda za unos u SAP'!$C$3:$C$501,"=552",'Plan rashoda za unos u SAP'!$N$3:$N$501,"=44")+SUMIFS('ANALITIKA EU PROJEKATA'!$H$3:$H$501,'ANALITIKA EU PROJEKATA'!$A$3:$A$501,"=552",'ANALITIKA EU PROJEKATA'!$Q$3:$Q$501,"=44")</f>
        <v>0</v>
      </c>
      <c r="M84" s="138">
        <f>SUMIFS('Plan rashoda za unos u SAP'!$J$3:$J$501,'Plan rashoda za unos u SAP'!$C$3:$C$501,"=559",'Plan rashoda za unos u SAP'!$N$3:$N$501,"=44")+SUMIFS('ANALITIKA EU PROJEKATA'!$H$3:$H$501,'ANALITIKA EU PROJEKATA'!$A$3:$A$501,"=559",'ANALITIKA EU PROJEKATA'!$Q$3:$Q$501,"=44")</f>
        <v>0</v>
      </c>
      <c r="N84" s="138">
        <f>SUMIFS('Plan rashoda za unos u SAP'!$J$3:$J$501,'Plan rashoda za unos u SAP'!$C$3:$C$501,"=561",'Plan rashoda za unos u SAP'!$N$3:$N$501,"=44")+SUMIFS('ANALITIKA EU PROJEKATA'!$H$3:$H$501,'ANALITIKA EU PROJEKATA'!$A$3:$A$501,"=561",'ANALITIKA EU PROJEKATA'!$Q$3:$Q$501,"=44")</f>
        <v>0</v>
      </c>
      <c r="O84" s="138">
        <f>SUMIFS('Plan rashoda za unos u SAP'!$J$3:$J$501,'Plan rashoda za unos u SAP'!$C$3:$C$501,"=563",'Plan rashoda za unos u SAP'!$N$3:$N$501,"=44")+SUMIFS('ANALITIKA EU PROJEKATA'!$H$3:$H$501,'ANALITIKA EU PROJEKATA'!$A$3:$A$501,"=563",'ANALITIKA EU PROJEKATA'!$Q$3:$Q$501,"=44")</f>
        <v>0</v>
      </c>
      <c r="P84" s="138">
        <f>SUMIFS('Plan rashoda za unos u SAP'!$J$3:$J$501,'Plan rashoda za unos u SAP'!$C$3:$C$501,"=573",'Plan rashoda za unos u SAP'!$N$3:$N$501,"=44")+SUMIFS('ANALITIKA EU PROJEKATA'!$H$3:$H$501,'ANALITIKA EU PROJEKATA'!$A$3:$A$501,"=573",'ANALITIKA EU PROJEKATA'!$Q$3:$Q$501,"=44")</f>
        <v>0</v>
      </c>
      <c r="Q84" s="138">
        <f>SUMIFS('Plan rashoda za unos u SAP'!$J$3:$J$501,'Plan rashoda za unos u SAP'!$C$3:$C$501,"=575",'Plan rashoda za unos u SAP'!$N$3:$N$501,"=44")+SUMIFS('ANALITIKA EU PROJEKATA'!$H$3:$H$501,'ANALITIKA EU PROJEKATA'!$A$3:$A$501,"=575",'ANALITIKA EU PROJEKATA'!$Q$3:$Q$501,"=44")</f>
        <v>0</v>
      </c>
      <c r="R84" s="138">
        <f>SUMIFS('Plan rashoda za unos u SAP'!$J$3:$J$501,'Plan rashoda za unos u SAP'!$C$3:$C$501,"=576",'Plan rashoda za unos u SAP'!$N$3:$N$501,"=44")+SUMIFS('ANALITIKA EU PROJEKATA'!$H$3:$H$501,'ANALITIKA EU PROJEKATA'!$A$3:$A$501,"=576",'ANALITIKA EU PROJEKATA'!$Q$3:$Q$501,"=44")</f>
        <v>0</v>
      </c>
      <c r="S84" s="138">
        <f>SUMIFS('Plan rashoda za unos u SAP'!$J$3:$J$501,'Plan rashoda za unos u SAP'!$C$3:$C$501,"=581",'Plan rashoda za unos u SAP'!$N$3:$N$501,"=44")+SUMIFS('ANALITIKA EU PROJEKATA'!$H$3:$H$501,'ANALITIKA EU PROJEKATA'!$A$3:$A$501,"=581",'ANALITIKA EU PROJEKATA'!$Q$3:$Q$501,"=44")</f>
        <v>0</v>
      </c>
      <c r="T84" s="138">
        <f>SUMIFS('Plan rashoda za unos u SAP'!$J$3:$J$501,'Plan rashoda za unos u SAP'!$C$3:$C$501,"=61",'Plan rashoda za unos u SAP'!$N$3:$N$501,"=44")+SUMIFS('ANALITIKA EU PROJEKATA'!$H$3:$H$501,'ANALITIKA EU PROJEKATA'!$A$3:$A$501,"=61",'ANALITIKA EU PROJEKATA'!$Q$3:$Q$501,"=44")</f>
        <v>0</v>
      </c>
      <c r="U84" s="138">
        <f>SUMIFS('Plan rashoda za unos u SAP'!$J$3:$J$501,'Plan rashoda za unos u SAP'!$C$3:$C$501,"=63",'Plan rashoda za unos u SAP'!$N$3:$N$501,"=44")+SUMIFS('ANALITIKA EU PROJEKATA'!$H$3:$H$501,'ANALITIKA EU PROJEKATA'!$A$3:$A$501,"=63",'ANALITIKA EU PROJEKATA'!$Q$3:$Q$501,"=44")</f>
        <v>0</v>
      </c>
      <c r="V84" s="138">
        <f>SUMIFS('Plan rashoda za unos u SAP'!$J$3:$J$501,'Plan rashoda za unos u SAP'!$C$3:$C$501,"=71",'Plan rashoda za unos u SAP'!$N$3:$N$501,"=44")+SUMIFS('ANALITIKA EU PROJEKATA'!$H$3:$H$501,'ANALITIKA EU PROJEKATA'!$A$3:$A$501,"=71",'ANALITIKA EU PROJEKATA'!$Q$3:$Q$501,"=44")</f>
        <v>0</v>
      </c>
      <c r="W84" s="138">
        <f>SUMIFS('Plan rashoda za unos u SAP'!$J$3:$J$501,'Plan rashoda za unos u SAP'!$C$3:$C$501,"=81",'Plan rashoda za unos u SAP'!$N$3:$N$501,"=44")+SUMIFS('ANALITIKA EU PROJEKATA'!$H$3:$H$501,'ANALITIKA EU PROJEKATA'!$A$3:$A$501,"=81",'ANALITIKA EU PROJEKATA'!$Q$3:$Q$501,"=44")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219</v>
      </c>
      <c r="D85" s="133">
        <f t="shared" si="22"/>
        <v>2500000</v>
      </c>
      <c r="E85" s="138">
        <f>SUMIFS('Plan rashoda za unos u SAP'!$J$3:$J$501,'Plan rashoda za unos u SAP'!$C$3:$C$501,"=11",'Plan rashoda za unos u SAP'!$N$3:$N$501,"=45")+SUMIFS('ANALITIKA EU PROJEKATA'!$H$3:$H$501,'ANALITIKA EU PROJEKATA'!$A$3:$A$501,"=11",'ANALITIKA EU PROJEKATA'!$Q$3:$Q$501,"=45")</f>
        <v>0</v>
      </c>
      <c r="F85" s="138">
        <f>SUMIFS('Plan rashoda za unos u SAP'!$J$3:$J$501,'Plan rashoda za unos u SAP'!$C$3:$C$501,"=12",'Plan rashoda za unos u SAP'!$N$3:$N$501,"=45")+SUMIFS('ANALITIKA EU PROJEKATA'!$H$3:$H$501,'ANALITIKA EU PROJEKATA'!$A$3:$A$501,"=12",'ANALITIKA EU PROJEKATA'!$Q$3:$Q$501,"=45")</f>
        <v>0</v>
      </c>
      <c r="G85" s="138">
        <f>SUMIFS('Plan rashoda za unos u SAP'!$J$3:$J$501,'Plan rashoda za unos u SAP'!$C$3:$C$501,"=31",'Plan rashoda za unos u SAP'!$N$3:$N$501,"=45")+SUMIFS('ANALITIKA EU PROJEKATA'!$H$3:$H$501,'ANALITIKA EU PROJEKATA'!$A$3:$A$501,"=31",'ANALITIKA EU PROJEKATA'!$Q$3:$Q$501,"=45")</f>
        <v>0</v>
      </c>
      <c r="H85" s="138">
        <f>SUMIFS('Plan rashoda za unos u SAP'!$J$3:$J$501,'Plan rashoda za unos u SAP'!$C$3:$C$501,"=41",'Plan rashoda za unos u SAP'!$N$3:$N$501,"=45")+SUMIFS('ANALITIKA EU PROJEKATA'!$H$3:$H$501,'ANALITIKA EU PROJEKATA'!$A$3:$A$501,"=41",'ANALITIKA EU PROJEKATA'!$Q$3:$Q$501,"=45")</f>
        <v>0</v>
      </c>
      <c r="I85" s="138">
        <f>SUMIFS('Plan rashoda za unos u SAP'!$J$3:$J$501,'Plan rashoda za unos u SAP'!$C$3:$C$501,"=43",'Plan rashoda za unos u SAP'!$N$3:$N$501,"=45")+SUMIFS('ANALITIKA EU PROJEKATA'!$H$3:$H$501,'ANALITIKA EU PROJEKATA'!$A$3:$A$501,"=43",'ANALITIKA EU PROJEKATA'!$Q$3:$Q$501,"=45")</f>
        <v>2354500</v>
      </c>
      <c r="J85" s="138">
        <f>SUMIFS('Plan rashoda za unos u SAP'!$J$3:$J$501,'Plan rashoda za unos u SAP'!$C$3:$C$501,"=51",'Plan rashoda za unos u SAP'!$N$3:$N$501,"=45")+SUMIFS('ANALITIKA EU PROJEKATA'!$H$3:$H$501,'ANALITIKA EU PROJEKATA'!$A$3:$A$501,"=51",'ANALITIKA EU PROJEKATA'!$Q$3:$Q$501,"=45")</f>
        <v>0</v>
      </c>
      <c r="K85" s="138">
        <f>SUMIFS('Plan rashoda za unos u SAP'!$J$3:$J$501,'Plan rashoda za unos u SAP'!$C$3:$C$501,"=52",'Plan rashoda za unos u SAP'!$N$3:$N$501,"=45")+SUMIFS('ANALITIKA EU PROJEKATA'!$H$3:$H$501,'ANALITIKA EU PROJEKATA'!$A$3:$A$501,"=52",'ANALITIKA EU PROJEKATA'!$Q$3:$Q$501,"=45")</f>
        <v>145500</v>
      </c>
      <c r="L85" s="138">
        <f>SUMIFS('Plan rashoda za unos u SAP'!$J$3:$J$501,'Plan rashoda za unos u SAP'!$C$3:$C$501,"=552",'Plan rashoda za unos u SAP'!$N$3:$N$501,"=45")+SUMIFS('ANALITIKA EU PROJEKATA'!$H$3:$H$501,'ANALITIKA EU PROJEKATA'!$A$3:$A$501,"=552",'ANALITIKA EU PROJEKATA'!$Q$3:$Q$501,"=45")</f>
        <v>0</v>
      </c>
      <c r="M85" s="138">
        <f>SUMIFS('Plan rashoda za unos u SAP'!$J$3:$J$501,'Plan rashoda za unos u SAP'!$C$3:$C$501,"=559",'Plan rashoda za unos u SAP'!$N$3:$N$501,"=45")+SUMIFS('ANALITIKA EU PROJEKATA'!$H$3:$H$501,'ANALITIKA EU PROJEKATA'!$A$3:$A$501,"=559",'ANALITIKA EU PROJEKATA'!$Q$3:$Q$501,"=45")</f>
        <v>0</v>
      </c>
      <c r="N85" s="138">
        <f>SUMIFS('Plan rashoda za unos u SAP'!$J$3:$J$501,'Plan rashoda za unos u SAP'!$C$3:$C$501,"=561",'Plan rashoda za unos u SAP'!$N$3:$N$501,"=45")+SUMIFS('ANALITIKA EU PROJEKATA'!$H$3:$H$501,'ANALITIKA EU PROJEKATA'!$A$3:$A$501,"=561",'ANALITIKA EU PROJEKATA'!$Q$3:$Q$501,"=45")</f>
        <v>0</v>
      </c>
      <c r="O85" s="138">
        <f>SUMIFS('Plan rashoda za unos u SAP'!$J$3:$J$501,'Plan rashoda za unos u SAP'!$C$3:$C$501,"=563",'Plan rashoda za unos u SAP'!$N$3:$N$501,"=45")+SUMIFS('ANALITIKA EU PROJEKATA'!$H$3:$H$501,'ANALITIKA EU PROJEKATA'!$A$3:$A$501,"=563",'ANALITIKA EU PROJEKATA'!$Q$3:$Q$501,"=45")</f>
        <v>0</v>
      </c>
      <c r="P85" s="138">
        <f>SUMIFS('Plan rashoda za unos u SAP'!$J$3:$J$501,'Plan rashoda za unos u SAP'!$C$3:$C$501,"=573",'Plan rashoda za unos u SAP'!$N$3:$N$501,"=45")+SUMIFS('ANALITIKA EU PROJEKATA'!$H$3:$H$501,'ANALITIKA EU PROJEKATA'!$A$3:$A$501,"=573",'ANALITIKA EU PROJEKATA'!$Q$3:$Q$501,"=45")</f>
        <v>0</v>
      </c>
      <c r="Q85" s="138">
        <f>SUMIFS('Plan rashoda za unos u SAP'!$J$3:$J$501,'Plan rashoda za unos u SAP'!$C$3:$C$501,"=575",'Plan rashoda za unos u SAP'!$N$3:$N$501,"=45")+SUMIFS('ANALITIKA EU PROJEKATA'!$H$3:$H$501,'ANALITIKA EU PROJEKATA'!$A$3:$A$501,"=575",'ANALITIKA EU PROJEKATA'!$Q$3:$Q$501,"=45")</f>
        <v>0</v>
      </c>
      <c r="R85" s="138">
        <f>SUMIFS('Plan rashoda za unos u SAP'!$J$3:$J$501,'Plan rashoda za unos u SAP'!$C$3:$C$501,"=576",'Plan rashoda za unos u SAP'!$N$3:$N$501,"=45")+SUMIFS('ANALITIKA EU PROJEKATA'!$H$3:$H$501,'ANALITIKA EU PROJEKATA'!$A$3:$A$501,"=576",'ANALITIKA EU PROJEKATA'!$Q$3:$Q$501,"=45")</f>
        <v>0</v>
      </c>
      <c r="S85" s="138">
        <f>SUMIFS('Plan rashoda za unos u SAP'!$J$3:$J$501,'Plan rashoda za unos u SAP'!$C$3:$C$501,"=581",'Plan rashoda za unos u SAP'!$N$3:$N$501,"=45")+SUMIFS('ANALITIKA EU PROJEKATA'!$H$3:$H$501,'ANALITIKA EU PROJEKATA'!$A$3:$A$501,"=581",'ANALITIKA EU PROJEKATA'!$Q$3:$Q$501,"=45")</f>
        <v>0</v>
      </c>
      <c r="T85" s="138">
        <f>SUMIFS('Plan rashoda za unos u SAP'!$J$3:$J$501,'Plan rashoda za unos u SAP'!$C$3:$C$501,"=61",'Plan rashoda za unos u SAP'!$N$3:$N$501,"=45")+SUMIFS('ANALITIKA EU PROJEKATA'!$H$3:$H$501,'ANALITIKA EU PROJEKATA'!$A$3:$A$501,"=61",'ANALITIKA EU PROJEKATA'!$Q$3:$Q$501,"=45")</f>
        <v>0</v>
      </c>
      <c r="U85" s="138">
        <f>SUMIFS('Plan rashoda za unos u SAP'!$J$3:$J$501,'Plan rashoda za unos u SAP'!$C$3:$C$501,"=63",'Plan rashoda za unos u SAP'!$N$3:$N$501,"=45")+SUMIFS('ANALITIKA EU PROJEKATA'!$H$3:$H$501,'ANALITIKA EU PROJEKATA'!$A$3:$A$501,"=63",'ANALITIKA EU PROJEKATA'!$Q$3:$Q$501,"=45")</f>
        <v>0</v>
      </c>
      <c r="V85" s="138">
        <f>SUMIFS('Plan rashoda za unos u SAP'!$J$3:$J$501,'Plan rashoda za unos u SAP'!$C$3:$C$501,"=71",'Plan rashoda za unos u SAP'!$N$3:$N$501,"=45")+SUMIFS('ANALITIKA EU PROJEKATA'!$H$3:$H$501,'ANALITIKA EU PROJEKATA'!$A$3:$A$501,"=71",'ANALITIKA EU PROJEKATA'!$Q$3:$Q$501,"=45")</f>
        <v>0</v>
      </c>
      <c r="W85" s="138">
        <f>SUMIFS('Plan rashoda za unos u SAP'!$J$3:$J$501,'Plan rashoda za unos u SAP'!$C$3:$C$501,"=81",'Plan rashoda za unos u SAP'!$N$3:$N$501,"=45")+SUMIFS('ANALITIKA EU PROJEKATA'!$H$3:$H$501,'ANALITIKA EU PROJEKATA'!$A$3:$A$501,"=81",'ANALITIKA EU PROJEKATA'!$Q$3:$Q$501,"=45")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2"/>
        <v>0</v>
      </c>
      <c r="E86" s="125">
        <f t="shared" ref="E86:W86" si="26">SUM(E87:E88)</f>
        <v>0</v>
      </c>
      <c r="F86" s="125">
        <f t="shared" si="26"/>
        <v>0</v>
      </c>
      <c r="G86" s="125">
        <f t="shared" si="26"/>
        <v>0</v>
      </c>
      <c r="H86" s="125">
        <f>SUM(H87:H88)</f>
        <v>0</v>
      </c>
      <c r="I86" s="125">
        <f t="shared" si="26"/>
        <v>0</v>
      </c>
      <c r="J86" s="125">
        <f t="shared" si="26"/>
        <v>0</v>
      </c>
      <c r="K86" s="125">
        <f t="shared" si="26"/>
        <v>0</v>
      </c>
      <c r="L86" s="125">
        <f>SUM(L87:L88)</f>
        <v>0</v>
      </c>
      <c r="M86" s="125">
        <f t="shared" si="26"/>
        <v>0</v>
      </c>
      <c r="N86" s="125">
        <f t="shared" si="26"/>
        <v>0</v>
      </c>
      <c r="O86" s="125">
        <f t="shared" si="26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>SUM(S87:S88)</f>
        <v>0</v>
      </c>
      <c r="T86" s="125">
        <f t="shared" si="26"/>
        <v>0</v>
      </c>
      <c r="U86" s="125">
        <f t="shared" si="26"/>
        <v>0</v>
      </c>
      <c r="V86" s="125">
        <f t="shared" si="26"/>
        <v>0</v>
      </c>
      <c r="W86" s="125">
        <f t="shared" si="26"/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347</v>
      </c>
      <c r="D87" s="78">
        <f t="shared" si="22"/>
        <v>0</v>
      </c>
      <c r="E87" s="138">
        <f>SUMIFS('Plan rashoda za unos u SAP'!$J$3:$J$501,'Plan rashoda za unos u SAP'!$C$3:$C$501,"=11",'Plan rashoda za unos u SAP'!$N$3:$N$501,"=51")+SUMIFS('ANALITIKA EU PROJEKATA'!$H$3:$H$501,'ANALITIKA EU PROJEKATA'!$A$3:$A$501,"=11",'ANALITIKA EU PROJEKATA'!$Q$3:$Q$501,"=51")</f>
        <v>0</v>
      </c>
      <c r="F87" s="138">
        <f>SUMIFS('Plan rashoda za unos u SAP'!$J$3:$J$501,'Plan rashoda za unos u SAP'!$C$3:$C$501,"=12",'Plan rashoda za unos u SAP'!$N$3:$N$501,"=51")+SUMIFS('ANALITIKA EU PROJEKATA'!$H$3:$H$501,'ANALITIKA EU PROJEKATA'!$A$3:$A$501,"=12",'ANALITIKA EU PROJEKATA'!$Q$3:$Q$501,"=51")</f>
        <v>0</v>
      </c>
      <c r="G87" s="138">
        <f>SUMIFS('Plan rashoda za unos u SAP'!$J$3:$J$501,'Plan rashoda za unos u SAP'!$C$3:$C$501,"=31",'Plan rashoda za unos u SAP'!$N$3:$N$501,"=51")+SUMIFS('ANALITIKA EU PROJEKATA'!$H$3:$H$501,'ANALITIKA EU PROJEKATA'!$A$3:$A$501,"=31",'ANALITIKA EU PROJEKATA'!$Q$3:$Q$501,"=51")</f>
        <v>0</v>
      </c>
      <c r="H87" s="138">
        <f>SUMIFS('Plan rashoda za unos u SAP'!$J$3:$J$501,'Plan rashoda za unos u SAP'!$C$3:$C$501,"=41",'Plan rashoda za unos u SAP'!$N$3:$N$501,"=51")+SUMIFS('ANALITIKA EU PROJEKATA'!$H$3:$H$501,'ANALITIKA EU PROJEKATA'!$A$3:$A$501,"=41",'ANALITIKA EU PROJEKATA'!$Q$3:$Q$501,"=51")</f>
        <v>0</v>
      </c>
      <c r="I87" s="138">
        <f>SUMIFS('Plan rashoda za unos u SAP'!$J$3:$J$501,'Plan rashoda za unos u SAP'!$C$3:$C$501,"=43",'Plan rashoda za unos u SAP'!$N$3:$N$501,"=51")+SUMIFS('ANALITIKA EU PROJEKATA'!$H$3:$H$501,'ANALITIKA EU PROJEKATA'!$A$3:$A$501,"=43",'ANALITIKA EU PROJEKATA'!$Q$3:$Q$501,"=51")</f>
        <v>0</v>
      </c>
      <c r="J87" s="138">
        <f>SUMIFS('Plan rashoda za unos u SAP'!$J$3:$J$501,'Plan rashoda za unos u SAP'!$C$3:$C$501,"=51",'Plan rashoda za unos u SAP'!$N$3:$N$501,"=51")+SUMIFS('ANALITIKA EU PROJEKATA'!$H$3:$H$501,'ANALITIKA EU PROJEKATA'!$A$3:$A$501,"=51",'ANALITIKA EU PROJEKATA'!$Q$3:$Q$501,"=51")</f>
        <v>0</v>
      </c>
      <c r="K87" s="138">
        <f>SUMIFS('Plan rashoda za unos u SAP'!$J$3:$J$501,'Plan rashoda za unos u SAP'!$C$3:$C$501,"=52",'Plan rashoda za unos u SAP'!$N$3:$N$501,"=51")+SUMIFS('ANALITIKA EU PROJEKATA'!$H$3:$H$501,'ANALITIKA EU PROJEKATA'!$A$3:$A$501,"=52",'ANALITIKA EU PROJEKATA'!$Q$3:$Q$501,"=51")</f>
        <v>0</v>
      </c>
      <c r="L87" s="138">
        <f>SUMIFS('Plan rashoda za unos u SAP'!$J$3:$J$501,'Plan rashoda za unos u SAP'!$C$3:$C$501,"=552",'Plan rashoda za unos u SAP'!$N$3:$N$501,"=51")+SUMIFS('ANALITIKA EU PROJEKATA'!$H$3:$H$501,'ANALITIKA EU PROJEKATA'!$A$3:$A$501,"=552",'ANALITIKA EU PROJEKATA'!$Q$3:$Q$501,"=51")</f>
        <v>0</v>
      </c>
      <c r="M87" s="138">
        <f>SUMIFS('Plan rashoda za unos u SAP'!$J$3:$J$501,'Plan rashoda za unos u SAP'!$C$3:$C$501,"=559",'Plan rashoda za unos u SAP'!$N$3:$N$501,"=51")+SUMIFS('ANALITIKA EU PROJEKATA'!$H$3:$H$501,'ANALITIKA EU PROJEKATA'!$A$3:$A$501,"=559",'ANALITIKA EU PROJEKATA'!$Q$3:$Q$501,"=51")</f>
        <v>0</v>
      </c>
      <c r="N87" s="138">
        <f>SUMIFS('Plan rashoda za unos u SAP'!$J$3:$J$501,'Plan rashoda za unos u SAP'!$C$3:$C$501,"=561",'Plan rashoda za unos u SAP'!$N$3:$N$501,"=51")+SUMIFS('ANALITIKA EU PROJEKATA'!$H$3:$H$501,'ANALITIKA EU PROJEKATA'!$A$3:$A$501,"=561",'ANALITIKA EU PROJEKATA'!$Q$3:$Q$501,"=51")</f>
        <v>0</v>
      </c>
      <c r="O87" s="138">
        <f>SUMIFS('Plan rashoda za unos u SAP'!$J$3:$J$501,'Plan rashoda za unos u SAP'!$C$3:$C$501,"=563",'Plan rashoda za unos u SAP'!$N$3:$N$501,"=51")+SUMIFS('ANALITIKA EU PROJEKATA'!$H$3:$H$501,'ANALITIKA EU PROJEKATA'!$A$3:$A$501,"=563",'ANALITIKA EU PROJEKATA'!$Q$3:$Q$501,"=51")</f>
        <v>0</v>
      </c>
      <c r="P87" s="138">
        <f>SUMIFS('Plan rashoda za unos u SAP'!$J$3:$J$501,'Plan rashoda za unos u SAP'!$C$3:$C$501,"=573",'Plan rashoda za unos u SAP'!$N$3:$N$501,"=51")+SUMIFS('ANALITIKA EU PROJEKATA'!$H$3:$H$501,'ANALITIKA EU PROJEKATA'!$A$3:$A$501,"=573",'ANALITIKA EU PROJEKATA'!$Q$3:$Q$501,"=51")</f>
        <v>0</v>
      </c>
      <c r="Q87" s="138">
        <f>SUMIFS('Plan rashoda za unos u SAP'!$J$3:$J$501,'Plan rashoda za unos u SAP'!$C$3:$C$501,"=575",'Plan rashoda za unos u SAP'!$N$3:$N$501,"=51")+SUMIFS('ANALITIKA EU PROJEKATA'!$H$3:$H$501,'ANALITIKA EU PROJEKATA'!$A$3:$A$501,"=575",'ANALITIKA EU PROJEKATA'!$Q$3:$Q$501,"=51")</f>
        <v>0</v>
      </c>
      <c r="R87" s="138">
        <f>SUMIFS('Plan rashoda za unos u SAP'!$J$3:$J$501,'Plan rashoda za unos u SAP'!$C$3:$C$501,"=576",'Plan rashoda za unos u SAP'!$N$3:$N$501,"=51")+SUMIFS('ANALITIKA EU PROJEKATA'!$H$3:$H$501,'ANALITIKA EU PROJEKATA'!$A$3:$A$501,"=576",'ANALITIKA EU PROJEKATA'!$Q$3:$Q$501,"=51")</f>
        <v>0</v>
      </c>
      <c r="S87" s="138">
        <f>SUMIFS('Plan rashoda za unos u SAP'!$J$3:$J$501,'Plan rashoda za unos u SAP'!$C$3:$C$501,"=581",'Plan rashoda za unos u SAP'!$N$3:$N$501,"=51")+SUMIFS('ANALITIKA EU PROJEKATA'!$H$3:$H$501,'ANALITIKA EU PROJEKATA'!$A$3:$A$501,"=581",'ANALITIKA EU PROJEKATA'!$Q$3:$Q$501,"=51")</f>
        <v>0</v>
      </c>
      <c r="T87" s="138">
        <f>SUMIFS('Plan rashoda za unos u SAP'!$J$3:$J$501,'Plan rashoda za unos u SAP'!$C$3:$C$501,"=61",'Plan rashoda za unos u SAP'!$N$3:$N$501,"=51")+SUMIFS('ANALITIKA EU PROJEKATA'!$H$3:$H$501,'ANALITIKA EU PROJEKATA'!$A$3:$A$501,"=61",'ANALITIKA EU PROJEKATA'!$Q$3:$Q$501,"=51")</f>
        <v>0</v>
      </c>
      <c r="U87" s="138">
        <f>SUMIFS('Plan rashoda za unos u SAP'!$J$3:$J$501,'Plan rashoda za unos u SAP'!$C$3:$C$501,"=63",'Plan rashoda za unos u SAP'!$N$3:$N$501,"=51")+SUMIFS('ANALITIKA EU PROJEKATA'!$H$3:$H$501,'ANALITIKA EU PROJEKATA'!$A$3:$A$501,"=63",'ANALITIKA EU PROJEKATA'!$Q$3:$Q$501,"=51")</f>
        <v>0</v>
      </c>
      <c r="V87" s="138">
        <f>SUMIFS('Plan rashoda za unos u SAP'!$J$3:$J$501,'Plan rashoda za unos u SAP'!$C$3:$C$501,"=71",'Plan rashoda za unos u SAP'!$N$3:$N$501,"=51")+SUMIFS('ANALITIKA EU PROJEKATA'!$H$3:$H$501,'ANALITIKA EU PROJEKATA'!$A$3:$A$501,"=71",'ANALITIKA EU PROJEKATA'!$Q$3:$Q$501,"=51")</f>
        <v>0</v>
      </c>
      <c r="W87" s="138">
        <f>SUMIFS('Plan rashoda za unos u SAP'!$J$3:$J$501,'Plan rashoda za unos u SAP'!$C$3:$C$501,"=81",'Plan rashoda za unos u SAP'!$N$3:$N$501,"=51")+SUMIFS('ANALITIKA EU PROJEKATA'!$H$3:$H$501,'ANALITIKA EU PROJEKATA'!$A$3:$A$501,"=81",'ANALITIKA EU PROJEKATA'!$Q$3:$Q$501,"=51")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348</v>
      </c>
      <c r="D88" s="78">
        <f t="shared" si="22"/>
        <v>0</v>
      </c>
      <c r="E88" s="138">
        <f>SUMIFS('Plan rashoda za unos u SAP'!$J$3:$J$501,'Plan rashoda za unos u SAP'!$C$3:$C$501,"=11",'Plan rashoda za unos u SAP'!$N$3:$N$501,"=54")+SUMIFS('ANALITIKA EU PROJEKATA'!$H$3:$H$501,'ANALITIKA EU PROJEKATA'!$A$3:$A$501,"=11",'ANALITIKA EU PROJEKATA'!$Q$3:$Q$501,"=54")</f>
        <v>0</v>
      </c>
      <c r="F88" s="138">
        <f>SUMIFS('Plan rashoda za unos u SAP'!$J$3:$J$501,'Plan rashoda za unos u SAP'!$C$3:$C$501,"=12",'Plan rashoda za unos u SAP'!$N$3:$N$501,"=54")+SUMIFS('ANALITIKA EU PROJEKATA'!$H$3:$H$501,'ANALITIKA EU PROJEKATA'!$A$3:$A$501,"=12",'ANALITIKA EU PROJEKATA'!$Q$3:$Q$501,"=54")</f>
        <v>0</v>
      </c>
      <c r="G88" s="138">
        <f>SUMIFS('Plan rashoda za unos u SAP'!$J$3:$J$501,'Plan rashoda za unos u SAP'!$C$3:$C$501,"=31",'Plan rashoda za unos u SAP'!$N$3:$N$501,"=54")+SUMIFS('ANALITIKA EU PROJEKATA'!$H$3:$H$501,'ANALITIKA EU PROJEKATA'!$A$3:$A$501,"=31",'ANALITIKA EU PROJEKATA'!$Q$3:$Q$501,"=54")</f>
        <v>0</v>
      </c>
      <c r="H88" s="138">
        <f>SUMIFS('Plan rashoda za unos u SAP'!$J$3:$J$501,'Plan rashoda za unos u SAP'!$C$3:$C$501,"=41",'Plan rashoda za unos u SAP'!$N$3:$N$501,"=54")+SUMIFS('ANALITIKA EU PROJEKATA'!$H$3:$H$501,'ANALITIKA EU PROJEKATA'!$A$3:$A$501,"=41",'ANALITIKA EU PROJEKATA'!$Q$3:$Q$501,"=54")</f>
        <v>0</v>
      </c>
      <c r="I88" s="138">
        <f>SUMIFS('Plan rashoda za unos u SAP'!$J$3:$J$501,'Plan rashoda za unos u SAP'!$C$3:$C$501,"=43",'Plan rashoda za unos u SAP'!$N$3:$N$501,"=54")+SUMIFS('ANALITIKA EU PROJEKATA'!$H$3:$H$501,'ANALITIKA EU PROJEKATA'!$A$3:$A$501,"=43",'ANALITIKA EU PROJEKATA'!$Q$3:$Q$501,"=54")</f>
        <v>0</v>
      </c>
      <c r="J88" s="138">
        <f>SUMIFS('Plan rashoda za unos u SAP'!$J$3:$J$501,'Plan rashoda za unos u SAP'!$C$3:$C$501,"=51",'Plan rashoda za unos u SAP'!$N$3:$N$501,"=54")+SUMIFS('ANALITIKA EU PROJEKATA'!$H$3:$H$501,'ANALITIKA EU PROJEKATA'!$A$3:$A$501,"=51",'ANALITIKA EU PROJEKATA'!$Q$3:$Q$501,"=54")</f>
        <v>0</v>
      </c>
      <c r="K88" s="138">
        <f>SUMIFS('Plan rashoda za unos u SAP'!$J$3:$J$501,'Plan rashoda za unos u SAP'!$C$3:$C$501,"=52",'Plan rashoda za unos u SAP'!$N$3:$N$501,"=54")+SUMIFS('ANALITIKA EU PROJEKATA'!$H$3:$H$501,'ANALITIKA EU PROJEKATA'!$A$3:$A$501,"=52",'ANALITIKA EU PROJEKATA'!$Q$3:$Q$501,"=54")</f>
        <v>0</v>
      </c>
      <c r="L88" s="138">
        <f>SUMIFS('Plan rashoda za unos u SAP'!$J$3:$J$501,'Plan rashoda za unos u SAP'!$C$3:$C$501,"=552",'Plan rashoda za unos u SAP'!$N$3:$N$501,"=54")+SUMIFS('ANALITIKA EU PROJEKATA'!$H$3:$H$501,'ANALITIKA EU PROJEKATA'!$A$3:$A$501,"=552",'ANALITIKA EU PROJEKATA'!$Q$3:$Q$501,"=54")</f>
        <v>0</v>
      </c>
      <c r="M88" s="138">
        <f>SUMIFS('Plan rashoda za unos u SAP'!$J$3:$J$501,'Plan rashoda za unos u SAP'!$C$3:$C$501,"=559",'Plan rashoda za unos u SAP'!$N$3:$N$501,"=54")+SUMIFS('ANALITIKA EU PROJEKATA'!$H$3:$H$501,'ANALITIKA EU PROJEKATA'!$A$3:$A$501,"=559",'ANALITIKA EU PROJEKATA'!$Q$3:$Q$501,"=54")</f>
        <v>0</v>
      </c>
      <c r="N88" s="138">
        <f>SUMIFS('Plan rashoda za unos u SAP'!$J$3:$J$501,'Plan rashoda za unos u SAP'!$C$3:$C$501,"=561",'Plan rashoda za unos u SAP'!$N$3:$N$501,"=54")+SUMIFS('ANALITIKA EU PROJEKATA'!$H$3:$H$501,'ANALITIKA EU PROJEKATA'!$A$3:$A$501,"=561",'ANALITIKA EU PROJEKATA'!$Q$3:$Q$501,"=54")</f>
        <v>0</v>
      </c>
      <c r="O88" s="138">
        <f>SUMIFS('Plan rashoda za unos u SAP'!$J$3:$J$501,'Plan rashoda za unos u SAP'!$C$3:$C$501,"=563",'Plan rashoda za unos u SAP'!$N$3:$N$501,"=54")+SUMIFS('ANALITIKA EU PROJEKATA'!$H$3:$H$501,'ANALITIKA EU PROJEKATA'!$A$3:$A$501,"=563",'ANALITIKA EU PROJEKATA'!$Q$3:$Q$501,"=54")</f>
        <v>0</v>
      </c>
      <c r="P88" s="138">
        <f>SUMIFS('Plan rashoda za unos u SAP'!$J$3:$J$501,'Plan rashoda za unos u SAP'!$C$3:$C$501,"=573",'Plan rashoda za unos u SAP'!$N$3:$N$501,"=54")+SUMIFS('ANALITIKA EU PROJEKATA'!$H$3:$H$501,'ANALITIKA EU PROJEKATA'!$A$3:$A$501,"=573",'ANALITIKA EU PROJEKATA'!$Q$3:$Q$501,"=54")</f>
        <v>0</v>
      </c>
      <c r="Q88" s="138">
        <f>SUMIFS('Plan rashoda za unos u SAP'!$J$3:$J$501,'Plan rashoda za unos u SAP'!$C$3:$C$501,"=575",'Plan rashoda za unos u SAP'!$N$3:$N$501,"=54")+SUMIFS('ANALITIKA EU PROJEKATA'!$H$3:$H$501,'ANALITIKA EU PROJEKATA'!$A$3:$A$501,"=575",'ANALITIKA EU PROJEKATA'!$Q$3:$Q$501,"=54")</f>
        <v>0</v>
      </c>
      <c r="R88" s="138">
        <f>SUMIFS('Plan rashoda za unos u SAP'!$J$3:$J$501,'Plan rashoda za unos u SAP'!$C$3:$C$501,"=576",'Plan rashoda za unos u SAP'!$N$3:$N$501,"=54")+SUMIFS('ANALITIKA EU PROJEKATA'!$H$3:$H$501,'ANALITIKA EU PROJEKATA'!$A$3:$A$501,"=576",'ANALITIKA EU PROJEKATA'!$Q$3:$Q$501,"=54")</f>
        <v>0</v>
      </c>
      <c r="S88" s="138">
        <f>SUMIFS('Plan rashoda za unos u SAP'!$J$3:$J$501,'Plan rashoda za unos u SAP'!$C$3:$C$501,"=581",'Plan rashoda za unos u SAP'!$N$3:$N$501,"=54")+SUMIFS('ANALITIKA EU PROJEKATA'!$H$3:$H$501,'ANALITIKA EU PROJEKATA'!$A$3:$A$501,"=581",'ANALITIKA EU PROJEKATA'!$Q$3:$Q$501,"=54")</f>
        <v>0</v>
      </c>
      <c r="T88" s="138">
        <f>SUMIFS('Plan rashoda za unos u SAP'!$J$3:$J$501,'Plan rashoda za unos u SAP'!$C$3:$C$501,"=61",'Plan rashoda za unos u SAP'!$N$3:$N$501,"=54")+SUMIFS('ANALITIKA EU PROJEKATA'!$H$3:$H$501,'ANALITIKA EU PROJEKATA'!$A$3:$A$501,"=61",'ANALITIKA EU PROJEKATA'!$Q$3:$Q$501,"=54")</f>
        <v>0</v>
      </c>
      <c r="U88" s="138">
        <f>SUMIFS('Plan rashoda za unos u SAP'!$J$3:$J$501,'Plan rashoda za unos u SAP'!$C$3:$C$501,"=63",'Plan rashoda za unos u SAP'!$N$3:$N$501,"=54")+SUMIFS('ANALITIKA EU PROJEKATA'!$H$3:$H$501,'ANALITIKA EU PROJEKATA'!$A$3:$A$501,"=63",'ANALITIKA EU PROJEKATA'!$Q$3:$Q$501,"=54")</f>
        <v>0</v>
      </c>
      <c r="V88" s="138">
        <f>SUMIFS('Plan rashoda za unos u SAP'!$J$3:$J$501,'Plan rashoda za unos u SAP'!$C$3:$C$501,"=71",'Plan rashoda za unos u SAP'!$N$3:$N$501,"=54")+SUMIFS('ANALITIKA EU PROJEKATA'!$H$3:$H$501,'ANALITIKA EU PROJEKATA'!$A$3:$A$501,"=71",'ANALITIKA EU PROJEKATA'!$Q$3:$Q$501,"=54")</f>
        <v>0</v>
      </c>
      <c r="W88" s="138">
        <f>SUMIFS('Plan rashoda za unos u SAP'!$J$3:$J$501,'Plan rashoda za unos u SAP'!$C$3:$C$501,"=81",'Plan rashoda za unos u SAP'!$N$3:$N$501,"=54")+SUMIFS('ANALITIKA EU PROJEKATA'!$H$3:$H$501,'ANALITIKA EU PROJEKATA'!$A$3:$A$501,"=81",'ANALITIKA EU PROJEKATA'!$Q$3:$Q$501,"=54")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1913</v>
      </c>
      <c r="B90" s="93" t="s">
        <v>199</v>
      </c>
      <c r="C90" s="93" t="s">
        <v>200</v>
      </c>
      <c r="D90" s="2" t="s">
        <v>3496</v>
      </c>
      <c r="E90" s="2" t="s">
        <v>40</v>
      </c>
      <c r="F90" s="2" t="s">
        <v>318</v>
      </c>
      <c r="G90" s="93" t="s">
        <v>19</v>
      </c>
      <c r="H90" s="93" t="s">
        <v>1374</v>
      </c>
      <c r="I90" s="93" t="s">
        <v>20</v>
      </c>
      <c r="J90" s="93" t="s">
        <v>267</v>
      </c>
      <c r="K90" s="93" t="s">
        <v>268</v>
      </c>
      <c r="L90" s="93" t="s">
        <v>1375</v>
      </c>
      <c r="M90" s="93" t="s">
        <v>269</v>
      </c>
      <c r="N90" s="93" t="s">
        <v>270</v>
      </c>
      <c r="O90" s="93" t="s">
        <v>271</v>
      </c>
      <c r="P90" s="93" t="s">
        <v>1376</v>
      </c>
      <c r="Q90" s="93" t="s">
        <v>1377</v>
      </c>
      <c r="R90" s="93" t="s">
        <v>1909</v>
      </c>
      <c r="S90" s="93" t="s">
        <v>3493</v>
      </c>
      <c r="T90" s="93" t="s">
        <v>272</v>
      </c>
      <c r="U90" s="93" t="s">
        <v>273</v>
      </c>
      <c r="V90" s="93" t="s">
        <v>1351</v>
      </c>
      <c r="W90" s="93" t="s">
        <v>1350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343</v>
      </c>
      <c r="D91" s="120">
        <f t="shared" ref="D91:D108" si="27">SUM(E91:W91)</f>
        <v>35297241</v>
      </c>
      <c r="E91" s="121">
        <f t="shared" ref="E91:W91" si="28">E92+E100+E106</f>
        <v>19803100</v>
      </c>
      <c r="F91" s="121">
        <f t="shared" si="28"/>
        <v>0</v>
      </c>
      <c r="G91" s="121">
        <f t="shared" si="28"/>
        <v>809000</v>
      </c>
      <c r="H91" s="121">
        <f>H92+H100+H106</f>
        <v>0</v>
      </c>
      <c r="I91" s="121">
        <f t="shared" si="28"/>
        <v>14394141</v>
      </c>
      <c r="J91" s="121">
        <f t="shared" si="28"/>
        <v>0</v>
      </c>
      <c r="K91" s="121">
        <f t="shared" si="28"/>
        <v>145500</v>
      </c>
      <c r="L91" s="121">
        <f>L92+L100+L106</f>
        <v>0</v>
      </c>
      <c r="M91" s="121">
        <f t="shared" si="28"/>
        <v>0</v>
      </c>
      <c r="N91" s="121">
        <f t="shared" si="28"/>
        <v>0</v>
      </c>
      <c r="O91" s="121">
        <f t="shared" si="28"/>
        <v>0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>S92+S100+S106</f>
        <v>0</v>
      </c>
      <c r="T91" s="121">
        <f t="shared" si="28"/>
        <v>145500</v>
      </c>
      <c r="U91" s="121">
        <f t="shared" si="28"/>
        <v>0</v>
      </c>
      <c r="V91" s="121">
        <f t="shared" si="28"/>
        <v>0</v>
      </c>
      <c r="W91" s="121">
        <f t="shared" si="28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201</v>
      </c>
      <c r="D92" s="124">
        <f t="shared" si="27"/>
        <v>32281241</v>
      </c>
      <c r="E92" s="130">
        <f t="shared" ref="E92:G92" si="29">SUM(E93:E99)</f>
        <v>19635100</v>
      </c>
      <c r="F92" s="130">
        <f t="shared" si="29"/>
        <v>0</v>
      </c>
      <c r="G92" s="130">
        <f t="shared" si="29"/>
        <v>578000</v>
      </c>
      <c r="H92" s="130">
        <f>SUM(H93:H99)</f>
        <v>0</v>
      </c>
      <c r="I92" s="130">
        <f t="shared" ref="I92:K92" si="30">SUM(I93:I99)</f>
        <v>11922641</v>
      </c>
      <c r="J92" s="130">
        <f t="shared" si="30"/>
        <v>0</v>
      </c>
      <c r="K92" s="130">
        <f t="shared" si="30"/>
        <v>0</v>
      </c>
      <c r="L92" s="130">
        <f>SUM(L93:L99)</f>
        <v>0</v>
      </c>
      <c r="M92" s="130">
        <f t="shared" ref="M92:O92" si="31">SUM(M93:M99)</f>
        <v>0</v>
      </c>
      <c r="N92" s="130">
        <f t="shared" si="31"/>
        <v>0</v>
      </c>
      <c r="O92" s="130">
        <f t="shared" si="31"/>
        <v>0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>SUM(S93:S99)</f>
        <v>0</v>
      </c>
      <c r="T92" s="130">
        <f t="shared" ref="T92:W92" si="32">SUM(T93:T99)</f>
        <v>145500</v>
      </c>
      <c r="U92" s="130">
        <f t="shared" si="32"/>
        <v>0</v>
      </c>
      <c r="V92" s="130">
        <f t="shared" si="32"/>
        <v>0</v>
      </c>
      <c r="W92" s="130">
        <f t="shared" si="32"/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202</v>
      </c>
      <c r="D93" s="132">
        <f t="shared" si="27"/>
        <v>27540887</v>
      </c>
      <c r="E93" s="138">
        <f>SUMIFS('Plan rashoda za unos u SAP'!$K$3:$K$501,'Plan rashoda za unos u SAP'!$C$3:$C$501,"=11",'Plan rashoda za unos u SAP'!$N$3:$N$501,"=31")+SUMIFS('ANALITIKA EU PROJEKATA'!$I$3:$I$501,'ANALITIKA EU PROJEKATA'!$A$3:$A$501,"=11",'ANALITIKA EU PROJEKATA'!$Q$3:$Q$501,"=31")</f>
        <v>18386016</v>
      </c>
      <c r="F93" s="138">
        <f>SUMIFS('Plan rashoda za unos u SAP'!$K$3:$K$501,'Plan rashoda za unos u SAP'!$C$3:$C$501,"=12",'Plan rashoda za unos u SAP'!$N$3:$N$501,"=31")+SUMIFS('ANALITIKA EU PROJEKATA'!$I$3:$I$501,'ANALITIKA EU PROJEKATA'!$A$3:$A$501,"=12",'ANALITIKA EU PROJEKATA'!$Q$3:$Q$501,"=31")</f>
        <v>0</v>
      </c>
      <c r="G93" s="138">
        <f>SUMIFS('Plan rashoda za unos u SAP'!$K$3:$K$501,'Plan rashoda za unos u SAP'!$C$3:$C$501,"=31",'Plan rashoda za unos u SAP'!$N$3:$N$501,"=31")+SUMIFS('ANALITIKA EU PROJEKATA'!$I$3:$I$501,'ANALITIKA EU PROJEKATA'!$A$3:$A$501,"=31",'ANALITIKA EU PROJEKATA'!$Q$3:$Q$501,"=31")</f>
        <v>271000</v>
      </c>
      <c r="H93" s="138">
        <f>SUMIFS('Plan rashoda za unos u SAP'!$K$3:$K$501,'Plan rashoda za unos u SAP'!$C$3:$C$501,"=41",'Plan rashoda za unos u SAP'!$N$3:$N$501,"=31")+SUMIFS('ANALITIKA EU PROJEKATA'!$I$3:$I$501,'ANALITIKA EU PROJEKATA'!$A$3:$A$501,"=41",'ANALITIKA EU PROJEKATA'!$Q$3:$Q$501,"=31")</f>
        <v>0</v>
      </c>
      <c r="I93" s="138">
        <f>SUMIFS('Plan rashoda za unos u SAP'!$K$3:$K$501,'Plan rashoda za unos u SAP'!$C$3:$C$501,"=43",'Plan rashoda za unos u SAP'!$N$3:$N$501,"=31")+SUMIFS('ANALITIKA EU PROJEKATA'!$I$3:$I$501,'ANALITIKA EU PROJEKATA'!$A$3:$A$501,"=43",'ANALITIKA EU PROJEKATA'!$Q$3:$Q$501,"=31")</f>
        <v>8741871</v>
      </c>
      <c r="J93" s="138">
        <f>SUMIFS('Plan rashoda za unos u SAP'!$K$3:$K$501,'Plan rashoda za unos u SAP'!$C$3:$C$501,"=51",'Plan rashoda za unos u SAP'!$N$3:$N$501,"=31")+SUMIFS('ANALITIKA EU PROJEKATA'!$I$3:$I$501,'ANALITIKA EU PROJEKATA'!$A$3:$A$501,"=51",'ANALITIKA EU PROJEKATA'!$Q$3:$Q$501,"=31")</f>
        <v>0</v>
      </c>
      <c r="K93" s="138">
        <f>SUMIFS('Plan rashoda za unos u SAP'!$K$3:$K$501,'Plan rashoda za unos u SAP'!$C$3:$C$501,"=52",'Plan rashoda za unos u SAP'!$N$3:$N$501,"=31")+SUMIFS('ANALITIKA EU PROJEKATA'!$I$3:$I$501,'ANALITIKA EU PROJEKATA'!$A$3:$A$501,"=52",'ANALITIKA EU PROJEKATA'!$Q$3:$Q$501,"=31")</f>
        <v>0</v>
      </c>
      <c r="L93" s="138">
        <f>SUMIFS('Plan rashoda za unos u SAP'!$K$3:$K$501,'Plan rashoda za unos u SAP'!$C$3:$C$501,"=552",'Plan rashoda za unos u SAP'!$N$3:$N$501,"=31")+SUMIFS('ANALITIKA EU PROJEKATA'!$I$3:$I$501,'ANALITIKA EU PROJEKATA'!$A$3:$A$501,"=552",'ANALITIKA EU PROJEKATA'!$Q$3:$Q$501,"=31")</f>
        <v>0</v>
      </c>
      <c r="M93" s="138">
        <f>SUMIFS('Plan rashoda za unos u SAP'!$K$3:$K$501,'Plan rashoda za unos u SAP'!$C$3:$C$501,"=559",'Plan rashoda za unos u SAP'!$N$3:$N$501,"=31")+SUMIFS('ANALITIKA EU PROJEKATA'!$I$3:$I$501,'ANALITIKA EU PROJEKATA'!$A$3:$A$501,"=559",'ANALITIKA EU PROJEKATA'!$Q$3:$Q$501,"=31")</f>
        <v>0</v>
      </c>
      <c r="N93" s="138">
        <f>SUMIFS('Plan rashoda za unos u SAP'!$K$3:$K$501,'Plan rashoda za unos u SAP'!$C$3:$C$501,"=561",'Plan rashoda za unos u SAP'!$N$3:$N$501,"=31")+SUMIFS('ANALITIKA EU PROJEKATA'!$I$3:$I$501,'ANALITIKA EU PROJEKATA'!$A$3:$A$501,"=561",'ANALITIKA EU PROJEKATA'!$Q$3:$Q$501,"=31")</f>
        <v>0</v>
      </c>
      <c r="O93" s="138">
        <f>SUMIFS('Plan rashoda za unos u SAP'!$K$3:$K$501,'Plan rashoda za unos u SAP'!$C$3:$C$501,"=563",'Plan rashoda za unos u SAP'!$N$3:$N$501,"=31")+SUMIFS('ANALITIKA EU PROJEKATA'!$I$3:$I$501,'ANALITIKA EU PROJEKATA'!$A$3:$A$501,"=563",'ANALITIKA EU PROJEKATA'!$Q$3:$Q$501,"=31")</f>
        <v>0</v>
      </c>
      <c r="P93" s="138">
        <f>SUMIFS('Plan rashoda za unos u SAP'!$K$3:$K$501,'Plan rashoda za unos u SAP'!$C$3:$C$501,"=573",'Plan rashoda za unos u SAP'!$N$3:$N$501,"=31")+SUMIFS('ANALITIKA EU PROJEKATA'!$I$3:$I$501,'ANALITIKA EU PROJEKATA'!$A$3:$A$501,"=573",'ANALITIKA EU PROJEKATA'!$Q$3:$Q$501,"=31")</f>
        <v>0</v>
      </c>
      <c r="Q93" s="138">
        <f>SUMIFS('Plan rashoda za unos u SAP'!$K$3:$K$501,'Plan rashoda za unos u SAP'!$C$3:$C$501,"=575",'Plan rashoda za unos u SAP'!$N$3:$N$501,"=31")+SUMIFS('ANALITIKA EU PROJEKATA'!$I$3:$I$501,'ANALITIKA EU PROJEKATA'!$A$3:$A$501,"=575",'ANALITIKA EU PROJEKATA'!$Q$3:$Q$501,"=31")</f>
        <v>0</v>
      </c>
      <c r="R93" s="138">
        <f>SUMIFS('Plan rashoda za unos u SAP'!$K$3:$K$501,'Plan rashoda za unos u SAP'!$C$3:$C$501,"=576",'Plan rashoda za unos u SAP'!$N$3:$N$501,"=31")+SUMIFS('ANALITIKA EU PROJEKATA'!$I$3:$I$501,'ANALITIKA EU PROJEKATA'!$A$3:$A$501,"=576",'ANALITIKA EU PROJEKATA'!$Q$3:$Q$501,"=31")</f>
        <v>0</v>
      </c>
      <c r="S93" s="138">
        <f>SUMIFS('Plan rashoda za unos u SAP'!$K$3:$K$501,'Plan rashoda za unos u SAP'!$C$3:$C$501,"=581",'Plan rashoda za unos u SAP'!$N$3:$N$501,"=31")+SUMIFS('ANALITIKA EU PROJEKATA'!$I$3:$I$501,'ANALITIKA EU PROJEKATA'!$A$3:$A$501,"=581",'ANALITIKA EU PROJEKATA'!$Q$3:$Q$501,"=31")</f>
        <v>0</v>
      </c>
      <c r="T93" s="138">
        <f>SUMIFS('Plan rashoda za unos u SAP'!$K$3:$K$501,'Plan rashoda za unos u SAP'!$C$3:$C$501,"=61",'Plan rashoda za unos u SAP'!$N$3:$N$501,"=31")+SUMIFS('ANALITIKA EU PROJEKATA'!$I$3:$I$501,'ANALITIKA EU PROJEKATA'!$A$3:$A$501,"=61",'ANALITIKA EU PROJEKATA'!$Q$3:$Q$501,"=31")</f>
        <v>142000</v>
      </c>
      <c r="U93" s="138">
        <f>SUMIFS('Plan rashoda za unos u SAP'!$K$3:$K$501,'Plan rashoda za unos u SAP'!$C$3:$C$501,"=63",'Plan rashoda za unos u SAP'!$N$3:$N$501,"=31")+SUMIFS('ANALITIKA EU PROJEKATA'!$I$3:$I$501,'ANALITIKA EU PROJEKATA'!$A$3:$A$501,"=63",'ANALITIKA EU PROJEKATA'!$Q$3:$Q$501,"=31")</f>
        <v>0</v>
      </c>
      <c r="V93" s="138">
        <f>SUMIFS('Plan rashoda za unos u SAP'!$K$3:$K$501,'Plan rashoda za unos u SAP'!$C$3:$C$501,"=71",'Plan rashoda za unos u SAP'!$N$3:$N$501,"=31")+SUMIFS('ANALITIKA EU PROJEKATA'!$I$3:$I$501,'ANALITIKA EU PROJEKATA'!$A$3:$A$501,"=71",'ANALITIKA EU PROJEKATA'!$Q$3:$Q$501,"=31")</f>
        <v>0</v>
      </c>
      <c r="W93" s="138">
        <f>SUMIFS('Plan rashoda za unos u SAP'!$K$3:$K$501,'Plan rashoda za unos u SAP'!$C$3:$C$501,"=81",'Plan rashoda za unos u SAP'!$N$3:$N$501,"=31")+SUMIFS('ANALITIKA EU PROJEKATA'!$I$3:$I$501,'ANALITIKA EU PROJEKATA'!$A$3:$A$501,"=81",'ANALITIKA EU PROJEKATA'!$Q$3:$Q$501,"=31")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203</v>
      </c>
      <c r="D94" s="133">
        <f t="shared" si="27"/>
        <v>4535354</v>
      </c>
      <c r="E94" s="138">
        <f>SUMIFS('Plan rashoda za unos u SAP'!$K$3:$K$501,'Plan rashoda za unos u SAP'!$C$3:$C$501,"=11",'Plan rashoda za unos u SAP'!$N$3:$N$501,"=32")+SUMIFS('ANALITIKA EU PROJEKATA'!$I$3:$I$501,'ANALITIKA EU PROJEKATA'!$A$3:$A$501,"=11",'ANALITIKA EU PROJEKATA'!$Q$3:$Q$501,"=32")</f>
        <v>1249084</v>
      </c>
      <c r="F94" s="138">
        <f>SUMIFS('Plan rashoda za unos u SAP'!$K$3:$K$501,'Plan rashoda za unos u SAP'!$C$3:$C$501,"=12",'Plan rashoda za unos u SAP'!$N$3:$N$501,"=32")+SUMIFS('ANALITIKA EU PROJEKATA'!$I$3:$I$501,'ANALITIKA EU PROJEKATA'!$A$3:$A$501,"=12",'ANALITIKA EU PROJEKATA'!$Q$3:$Q$501,"=32")</f>
        <v>0</v>
      </c>
      <c r="G94" s="138">
        <f>SUMIFS('Plan rashoda za unos u SAP'!$K$3:$K$501,'Plan rashoda za unos u SAP'!$C$3:$C$501,"=31",'Plan rashoda za unos u SAP'!$N$3:$N$501,"=32")+SUMIFS('ANALITIKA EU PROJEKATA'!$I$3:$I$501,'ANALITIKA EU PROJEKATA'!$A$3:$A$501,"=31",'ANALITIKA EU PROJEKATA'!$Q$3:$Q$501,"=32")</f>
        <v>303000</v>
      </c>
      <c r="H94" s="138">
        <f>SUMIFS('Plan rashoda za unos u SAP'!$K$3:$K$501,'Plan rashoda za unos u SAP'!$C$3:$C$501,"=41",'Plan rashoda za unos u SAP'!$N$3:$N$501,"=32")+SUMIFS('ANALITIKA EU PROJEKATA'!$I$3:$I$501,'ANALITIKA EU PROJEKATA'!$A$3:$A$501,"=41",'ANALITIKA EU PROJEKATA'!$Q$3:$Q$501,"=32")</f>
        <v>0</v>
      </c>
      <c r="I94" s="138">
        <f>SUMIFS('Plan rashoda za unos u SAP'!$K$3:$K$501,'Plan rashoda za unos u SAP'!$C$3:$C$501,"=43",'Plan rashoda za unos u SAP'!$N$3:$N$501,"=32")+SUMIFS('ANALITIKA EU PROJEKATA'!$I$3:$I$501,'ANALITIKA EU PROJEKATA'!$A$3:$A$501,"=43",'ANALITIKA EU PROJEKATA'!$Q$3:$Q$501,"=32")</f>
        <v>2979770</v>
      </c>
      <c r="J94" s="138">
        <f>SUMIFS('Plan rashoda za unos u SAP'!$K$3:$K$501,'Plan rashoda za unos u SAP'!$C$3:$C$501,"=51",'Plan rashoda za unos u SAP'!$N$3:$N$501,"=32")+SUMIFS('ANALITIKA EU PROJEKATA'!$I$3:$I$501,'ANALITIKA EU PROJEKATA'!$A$3:$A$501,"=51",'ANALITIKA EU PROJEKATA'!$Q$3:$Q$501,"=32")</f>
        <v>0</v>
      </c>
      <c r="K94" s="138">
        <f>SUMIFS('Plan rashoda za unos u SAP'!$K$3:$K$501,'Plan rashoda za unos u SAP'!$C$3:$C$501,"=52",'Plan rashoda za unos u SAP'!$N$3:$N$501,"=32")+SUMIFS('ANALITIKA EU PROJEKATA'!$I$3:$I$501,'ANALITIKA EU PROJEKATA'!$A$3:$A$501,"=52",'ANALITIKA EU PROJEKATA'!$Q$3:$Q$501,"=32")</f>
        <v>0</v>
      </c>
      <c r="L94" s="138">
        <f>SUMIFS('Plan rashoda za unos u SAP'!$K$3:$K$501,'Plan rashoda za unos u SAP'!$C$3:$C$501,"=552",'Plan rashoda za unos u SAP'!$N$3:$N$501,"=32")+SUMIFS('ANALITIKA EU PROJEKATA'!$I$3:$I$501,'ANALITIKA EU PROJEKATA'!$A$3:$A$501,"=552",'ANALITIKA EU PROJEKATA'!$Q$3:$Q$501,"=32")</f>
        <v>0</v>
      </c>
      <c r="M94" s="138">
        <f>SUMIFS('Plan rashoda za unos u SAP'!$K$3:$K$501,'Plan rashoda za unos u SAP'!$C$3:$C$501,"=559",'Plan rashoda za unos u SAP'!$N$3:$N$501,"=32")+SUMIFS('ANALITIKA EU PROJEKATA'!$I$3:$I$501,'ANALITIKA EU PROJEKATA'!$A$3:$A$501,"=559",'ANALITIKA EU PROJEKATA'!$Q$3:$Q$501,"=32")</f>
        <v>0</v>
      </c>
      <c r="N94" s="138">
        <f>SUMIFS('Plan rashoda za unos u SAP'!$K$3:$K$501,'Plan rashoda za unos u SAP'!$C$3:$C$501,"=561",'Plan rashoda za unos u SAP'!$N$3:$N$501,"=32")+SUMIFS('ANALITIKA EU PROJEKATA'!$I$3:$I$501,'ANALITIKA EU PROJEKATA'!$A$3:$A$501,"=561",'ANALITIKA EU PROJEKATA'!$Q$3:$Q$501,"=32")</f>
        <v>0</v>
      </c>
      <c r="O94" s="138">
        <f>SUMIFS('Plan rashoda za unos u SAP'!$K$3:$K$501,'Plan rashoda za unos u SAP'!$C$3:$C$501,"=563",'Plan rashoda za unos u SAP'!$N$3:$N$501,"=32")+SUMIFS('ANALITIKA EU PROJEKATA'!$I$3:$I$501,'ANALITIKA EU PROJEKATA'!$A$3:$A$501,"=563",'ANALITIKA EU PROJEKATA'!$Q$3:$Q$501,"=32")</f>
        <v>0</v>
      </c>
      <c r="P94" s="138">
        <f>SUMIFS('Plan rashoda za unos u SAP'!$K$3:$K$501,'Plan rashoda za unos u SAP'!$C$3:$C$501,"=573",'Plan rashoda za unos u SAP'!$N$3:$N$501,"=32")+SUMIFS('ANALITIKA EU PROJEKATA'!$I$3:$I$501,'ANALITIKA EU PROJEKATA'!$A$3:$A$501,"=573",'ANALITIKA EU PROJEKATA'!$Q$3:$Q$501,"=32")</f>
        <v>0</v>
      </c>
      <c r="Q94" s="138">
        <f>SUMIFS('Plan rashoda za unos u SAP'!$K$3:$K$501,'Plan rashoda za unos u SAP'!$C$3:$C$501,"=575",'Plan rashoda za unos u SAP'!$N$3:$N$501,"=32")+SUMIFS('ANALITIKA EU PROJEKATA'!$I$3:$I$501,'ANALITIKA EU PROJEKATA'!$A$3:$A$501,"=575",'ANALITIKA EU PROJEKATA'!$Q$3:$Q$501,"=32")</f>
        <v>0</v>
      </c>
      <c r="R94" s="138">
        <f>SUMIFS('Plan rashoda za unos u SAP'!$K$3:$K$501,'Plan rashoda za unos u SAP'!$C$3:$C$501,"=576",'Plan rashoda za unos u SAP'!$N$3:$N$501,"=32")+SUMIFS('ANALITIKA EU PROJEKATA'!$I$3:$I$501,'ANALITIKA EU PROJEKATA'!$A$3:$A$501,"=576",'ANALITIKA EU PROJEKATA'!$Q$3:$Q$501,"=32")</f>
        <v>0</v>
      </c>
      <c r="S94" s="138">
        <f>SUMIFS('Plan rashoda za unos u SAP'!$K$3:$K$501,'Plan rashoda za unos u SAP'!$C$3:$C$501,"=581",'Plan rashoda za unos u SAP'!$N$3:$N$501,"=32")+SUMIFS('ANALITIKA EU PROJEKATA'!$I$3:$I$501,'ANALITIKA EU PROJEKATA'!$A$3:$A$501,"=581",'ANALITIKA EU PROJEKATA'!$Q$3:$Q$501,"=32")</f>
        <v>0</v>
      </c>
      <c r="T94" s="138">
        <f>SUMIFS('Plan rashoda za unos u SAP'!$K$3:$K$501,'Plan rashoda za unos u SAP'!$C$3:$C$501,"=61",'Plan rashoda za unos u SAP'!$N$3:$N$501,"=32")+SUMIFS('ANALITIKA EU PROJEKATA'!$I$3:$I$501,'ANALITIKA EU PROJEKATA'!$A$3:$A$501,"=61",'ANALITIKA EU PROJEKATA'!$Q$3:$Q$501,"=32")</f>
        <v>3500</v>
      </c>
      <c r="U94" s="138">
        <f>SUMIFS('Plan rashoda za unos u SAP'!$K$3:$K$501,'Plan rashoda za unos u SAP'!$C$3:$C$501,"=63",'Plan rashoda za unos u SAP'!$N$3:$N$501,"=32")+SUMIFS('ANALITIKA EU PROJEKATA'!$I$3:$I$501,'ANALITIKA EU PROJEKATA'!$A$3:$A$501,"=63",'ANALITIKA EU PROJEKATA'!$Q$3:$Q$501,"=32")</f>
        <v>0</v>
      </c>
      <c r="V94" s="138">
        <f>SUMIFS('Plan rashoda za unos u SAP'!$K$3:$K$501,'Plan rashoda za unos u SAP'!$C$3:$C$501,"=71",'Plan rashoda za unos u SAP'!$N$3:$N$501,"=32")+SUMIFS('ANALITIKA EU PROJEKATA'!$I$3:$I$501,'ANALITIKA EU PROJEKATA'!$A$3:$A$501,"=71",'ANALITIKA EU PROJEKATA'!$Q$3:$Q$501,"=32")</f>
        <v>0</v>
      </c>
      <c r="W94" s="138">
        <f>SUMIFS('Plan rashoda za unos u SAP'!$K$3:$K$501,'Plan rashoda za unos u SAP'!$C$3:$C$501,"=81",'Plan rashoda za unos u SAP'!$N$3:$N$501,"=32")+SUMIFS('ANALITIKA EU PROJEKATA'!$I$3:$I$501,'ANALITIKA EU PROJEKATA'!$A$3:$A$501,"=81",'ANALITIKA EU PROJEKATA'!$Q$3:$Q$501,"=32")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207</v>
      </c>
      <c r="D95" s="133">
        <f t="shared" si="27"/>
        <v>141000</v>
      </c>
      <c r="E95" s="138">
        <f>SUMIFS('Plan rashoda za unos u SAP'!$K$3:$K$501,'Plan rashoda za unos u SAP'!$C$3:$C$501,"=11",'Plan rashoda za unos u SAP'!$N$3:$N$501,"=34")+SUMIFS('ANALITIKA EU PROJEKATA'!$I$3:$I$501,'ANALITIKA EU PROJEKATA'!$A$3:$A$501,"=11",'ANALITIKA EU PROJEKATA'!$Q$3:$Q$501,"=34")</f>
        <v>0</v>
      </c>
      <c r="F95" s="138">
        <f>SUMIFS('Plan rashoda za unos u SAP'!$K$3:$K$501,'Plan rashoda za unos u SAP'!$C$3:$C$501,"=12",'Plan rashoda za unos u SAP'!$N$3:$N$501,"=34")+SUMIFS('ANALITIKA EU PROJEKATA'!$I$3:$I$501,'ANALITIKA EU PROJEKATA'!$A$3:$A$501,"=12",'ANALITIKA EU PROJEKATA'!$Q$3:$Q$501,"=34")</f>
        <v>0</v>
      </c>
      <c r="G95" s="138">
        <f>SUMIFS('Plan rashoda za unos u SAP'!$K$3:$K$501,'Plan rashoda za unos u SAP'!$C$3:$C$501,"=31",'Plan rashoda za unos u SAP'!$N$3:$N$501,"=34")+SUMIFS('ANALITIKA EU PROJEKATA'!$I$3:$I$501,'ANALITIKA EU PROJEKATA'!$A$3:$A$501,"=31",'ANALITIKA EU PROJEKATA'!$Q$3:$Q$501,"=34")</f>
        <v>4000</v>
      </c>
      <c r="H95" s="138">
        <f>SUMIFS('Plan rashoda za unos u SAP'!$K$3:$K$501,'Plan rashoda za unos u SAP'!$C$3:$C$501,"=41",'Plan rashoda za unos u SAP'!$N$3:$N$501,"=34")+SUMIFS('ANALITIKA EU PROJEKATA'!$I$3:$I$501,'ANALITIKA EU PROJEKATA'!$A$3:$A$501,"=41",'ANALITIKA EU PROJEKATA'!$Q$3:$Q$501,"=34")</f>
        <v>0</v>
      </c>
      <c r="I95" s="138">
        <f>SUMIFS('Plan rashoda za unos u SAP'!$K$3:$K$501,'Plan rashoda za unos u SAP'!$C$3:$C$501,"=43",'Plan rashoda za unos u SAP'!$N$3:$N$501,"=34")+SUMIFS('ANALITIKA EU PROJEKATA'!$I$3:$I$501,'ANALITIKA EU PROJEKATA'!$A$3:$A$501,"=43",'ANALITIKA EU PROJEKATA'!$Q$3:$Q$501,"=34")</f>
        <v>137000</v>
      </c>
      <c r="J95" s="138">
        <f>SUMIFS('Plan rashoda za unos u SAP'!$K$3:$K$501,'Plan rashoda za unos u SAP'!$C$3:$C$501,"=51",'Plan rashoda za unos u SAP'!$N$3:$N$501,"=34")+SUMIFS('ANALITIKA EU PROJEKATA'!$I$3:$I$501,'ANALITIKA EU PROJEKATA'!$A$3:$A$501,"=51",'ANALITIKA EU PROJEKATA'!$Q$3:$Q$501,"=34")</f>
        <v>0</v>
      </c>
      <c r="K95" s="138">
        <f>SUMIFS('Plan rashoda za unos u SAP'!$K$3:$K$501,'Plan rashoda za unos u SAP'!$C$3:$C$501,"=52",'Plan rashoda za unos u SAP'!$N$3:$N$501,"=34")+SUMIFS('ANALITIKA EU PROJEKATA'!$I$3:$I$501,'ANALITIKA EU PROJEKATA'!$A$3:$A$501,"=52",'ANALITIKA EU PROJEKATA'!$Q$3:$Q$501,"=34")</f>
        <v>0</v>
      </c>
      <c r="L95" s="138">
        <f>SUMIFS('Plan rashoda za unos u SAP'!$K$3:$K$501,'Plan rashoda za unos u SAP'!$C$3:$C$501,"=552",'Plan rashoda za unos u SAP'!$N$3:$N$501,"=34")+SUMIFS('ANALITIKA EU PROJEKATA'!$I$3:$I$501,'ANALITIKA EU PROJEKATA'!$A$3:$A$501,"=552",'ANALITIKA EU PROJEKATA'!$Q$3:$Q$501,"=34")</f>
        <v>0</v>
      </c>
      <c r="M95" s="138">
        <f>SUMIFS('Plan rashoda za unos u SAP'!$K$3:$K$501,'Plan rashoda za unos u SAP'!$C$3:$C$501,"=559",'Plan rashoda za unos u SAP'!$N$3:$N$501,"=34")+SUMIFS('ANALITIKA EU PROJEKATA'!$I$3:$I$501,'ANALITIKA EU PROJEKATA'!$A$3:$A$501,"=559",'ANALITIKA EU PROJEKATA'!$Q$3:$Q$501,"=34")</f>
        <v>0</v>
      </c>
      <c r="N95" s="138">
        <f>SUMIFS('Plan rashoda za unos u SAP'!$K$3:$K$501,'Plan rashoda za unos u SAP'!$C$3:$C$501,"=561",'Plan rashoda za unos u SAP'!$N$3:$N$501,"=34")+SUMIFS('ANALITIKA EU PROJEKATA'!$I$3:$I$501,'ANALITIKA EU PROJEKATA'!$A$3:$A$501,"=561",'ANALITIKA EU PROJEKATA'!$Q$3:$Q$501,"=34")</f>
        <v>0</v>
      </c>
      <c r="O95" s="138">
        <f>SUMIFS('Plan rashoda za unos u SAP'!$K$3:$K$501,'Plan rashoda za unos u SAP'!$C$3:$C$501,"=563",'Plan rashoda za unos u SAP'!$N$3:$N$501,"=34")+SUMIFS('ANALITIKA EU PROJEKATA'!$I$3:$I$501,'ANALITIKA EU PROJEKATA'!$A$3:$A$501,"=563",'ANALITIKA EU PROJEKATA'!$Q$3:$Q$501,"=34")</f>
        <v>0</v>
      </c>
      <c r="P95" s="138">
        <f>SUMIFS('Plan rashoda za unos u SAP'!$K$3:$K$501,'Plan rashoda za unos u SAP'!$C$3:$C$501,"=573",'Plan rashoda za unos u SAP'!$N$3:$N$501,"=34")+SUMIFS('ANALITIKA EU PROJEKATA'!$I$3:$I$501,'ANALITIKA EU PROJEKATA'!$A$3:$A$501,"=573",'ANALITIKA EU PROJEKATA'!$Q$3:$Q$501,"=34")</f>
        <v>0</v>
      </c>
      <c r="Q95" s="138">
        <f>SUMIFS('Plan rashoda za unos u SAP'!$K$3:$K$501,'Plan rashoda za unos u SAP'!$C$3:$C$501,"=575",'Plan rashoda za unos u SAP'!$N$3:$N$501,"=34")+SUMIFS('ANALITIKA EU PROJEKATA'!$I$3:$I$501,'ANALITIKA EU PROJEKATA'!$A$3:$A$501,"=575",'ANALITIKA EU PROJEKATA'!$Q$3:$Q$501,"=34")</f>
        <v>0</v>
      </c>
      <c r="R95" s="138">
        <f>SUMIFS('Plan rashoda za unos u SAP'!$K$3:$K$501,'Plan rashoda za unos u SAP'!$C$3:$C$501,"=576",'Plan rashoda za unos u SAP'!$N$3:$N$501,"=34")+SUMIFS('ANALITIKA EU PROJEKATA'!$I$3:$I$501,'ANALITIKA EU PROJEKATA'!$A$3:$A$501,"=576",'ANALITIKA EU PROJEKATA'!$Q$3:$Q$501,"=34")</f>
        <v>0</v>
      </c>
      <c r="S95" s="138">
        <f>SUMIFS('Plan rashoda za unos u SAP'!$K$3:$K$501,'Plan rashoda za unos u SAP'!$C$3:$C$501,"=581",'Plan rashoda za unos u SAP'!$N$3:$N$501,"=34")+SUMIFS('ANALITIKA EU PROJEKATA'!$I$3:$I$501,'ANALITIKA EU PROJEKATA'!$A$3:$A$501,"=581",'ANALITIKA EU PROJEKATA'!$Q$3:$Q$501,"=34")</f>
        <v>0</v>
      </c>
      <c r="T95" s="138">
        <f>SUMIFS('Plan rashoda za unos u SAP'!$K$3:$K$501,'Plan rashoda za unos u SAP'!$C$3:$C$501,"=61",'Plan rashoda za unos u SAP'!$N$3:$N$501,"=34")+SUMIFS('ANALITIKA EU PROJEKATA'!$I$3:$I$501,'ANALITIKA EU PROJEKATA'!$A$3:$A$501,"=61",'ANALITIKA EU PROJEKATA'!$Q$3:$Q$501,"=34")</f>
        <v>0</v>
      </c>
      <c r="U95" s="138">
        <f>SUMIFS('Plan rashoda za unos u SAP'!$K$3:$K$501,'Plan rashoda za unos u SAP'!$C$3:$C$501,"=63",'Plan rashoda za unos u SAP'!$N$3:$N$501,"=34")+SUMIFS('ANALITIKA EU PROJEKATA'!$I$3:$I$501,'ANALITIKA EU PROJEKATA'!$A$3:$A$501,"=63",'ANALITIKA EU PROJEKATA'!$Q$3:$Q$501,"=34")</f>
        <v>0</v>
      </c>
      <c r="V95" s="138">
        <f>SUMIFS('Plan rashoda za unos u SAP'!$K$3:$K$501,'Plan rashoda za unos u SAP'!$C$3:$C$501,"=71",'Plan rashoda za unos u SAP'!$N$3:$N$501,"=34")+SUMIFS('ANALITIKA EU PROJEKATA'!$I$3:$I$501,'ANALITIKA EU PROJEKATA'!$A$3:$A$501,"=71",'ANALITIKA EU PROJEKATA'!$Q$3:$Q$501,"=34")</f>
        <v>0</v>
      </c>
      <c r="W95" s="138">
        <f>SUMIFS('Plan rashoda za unos u SAP'!$K$3:$K$501,'Plan rashoda za unos u SAP'!$C$3:$C$501,"=81",'Plan rashoda za unos u SAP'!$N$3:$N$501,"=34")+SUMIFS('ANALITIKA EU PROJEKATA'!$I$3:$I$501,'ANALITIKA EU PROJEKATA'!$A$3:$A$501,"=81",'ANALITIKA EU PROJEKATA'!$Q$3:$Q$501,"=34")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321</v>
      </c>
      <c r="D96" s="133">
        <f t="shared" si="27"/>
        <v>0</v>
      </c>
      <c r="E96" s="138">
        <f>SUMIFS('Plan rashoda za unos u SAP'!$K$3:$K$501,'Plan rashoda za unos u SAP'!$C$3:$C$501,"=11",'Plan rashoda za unos u SAP'!$N$3:$N$501,"=35")+SUMIFS('ANALITIKA EU PROJEKATA'!$I$3:$I$501,'ANALITIKA EU PROJEKATA'!$A$3:$A$501,"=11",'ANALITIKA EU PROJEKATA'!$Q$3:$Q$501,"=35")</f>
        <v>0</v>
      </c>
      <c r="F96" s="138">
        <f>SUMIFS('Plan rashoda za unos u SAP'!$K$3:$K$501,'Plan rashoda za unos u SAP'!$C$3:$C$501,"=12",'Plan rashoda za unos u SAP'!$N$3:$N$501,"=35")+SUMIFS('ANALITIKA EU PROJEKATA'!$I$3:$I$501,'ANALITIKA EU PROJEKATA'!$A$3:$A$501,"=12",'ANALITIKA EU PROJEKATA'!$Q$3:$Q$501,"=35")</f>
        <v>0</v>
      </c>
      <c r="G96" s="138">
        <f>SUMIFS('Plan rashoda za unos u SAP'!$K$3:$K$501,'Plan rashoda za unos u SAP'!$C$3:$C$501,"=31",'Plan rashoda za unos u SAP'!$N$3:$N$501,"=35")+SUMIFS('ANALITIKA EU PROJEKATA'!$I$3:$I$501,'ANALITIKA EU PROJEKATA'!$A$3:$A$501,"=31",'ANALITIKA EU PROJEKATA'!$Q$3:$Q$501,"=35")</f>
        <v>0</v>
      </c>
      <c r="H96" s="138">
        <f>SUMIFS('Plan rashoda za unos u SAP'!$K$3:$K$501,'Plan rashoda za unos u SAP'!$C$3:$C$501,"=41",'Plan rashoda za unos u SAP'!$N$3:$N$501,"=35")+SUMIFS('ANALITIKA EU PROJEKATA'!$I$3:$I$501,'ANALITIKA EU PROJEKATA'!$A$3:$A$501,"=41",'ANALITIKA EU PROJEKATA'!$Q$3:$Q$501,"=35")</f>
        <v>0</v>
      </c>
      <c r="I96" s="138">
        <f>SUMIFS('Plan rashoda za unos u SAP'!$K$3:$K$501,'Plan rashoda za unos u SAP'!$C$3:$C$501,"=43",'Plan rashoda za unos u SAP'!$N$3:$N$501,"=35")+SUMIFS('ANALITIKA EU PROJEKATA'!$I$3:$I$501,'ANALITIKA EU PROJEKATA'!$A$3:$A$501,"=43",'ANALITIKA EU PROJEKATA'!$Q$3:$Q$501,"=35")</f>
        <v>0</v>
      </c>
      <c r="J96" s="138">
        <f>SUMIFS('Plan rashoda za unos u SAP'!$K$3:$K$501,'Plan rashoda za unos u SAP'!$C$3:$C$501,"=51",'Plan rashoda za unos u SAP'!$N$3:$N$501,"=35")+SUMIFS('ANALITIKA EU PROJEKATA'!$I$3:$I$501,'ANALITIKA EU PROJEKATA'!$A$3:$A$501,"=51",'ANALITIKA EU PROJEKATA'!$Q$3:$Q$501,"=35")</f>
        <v>0</v>
      </c>
      <c r="K96" s="138">
        <f>SUMIFS('Plan rashoda za unos u SAP'!$K$3:$K$501,'Plan rashoda za unos u SAP'!$C$3:$C$501,"=52",'Plan rashoda za unos u SAP'!$N$3:$N$501,"=35")+SUMIFS('ANALITIKA EU PROJEKATA'!$I$3:$I$501,'ANALITIKA EU PROJEKATA'!$A$3:$A$501,"=52",'ANALITIKA EU PROJEKATA'!$Q$3:$Q$501,"=35")</f>
        <v>0</v>
      </c>
      <c r="L96" s="138">
        <f>SUMIFS('Plan rashoda za unos u SAP'!$K$3:$K$501,'Plan rashoda za unos u SAP'!$C$3:$C$501,"=552",'Plan rashoda za unos u SAP'!$N$3:$N$501,"=35")+SUMIFS('ANALITIKA EU PROJEKATA'!$I$3:$I$501,'ANALITIKA EU PROJEKATA'!$A$3:$A$501,"=552",'ANALITIKA EU PROJEKATA'!$Q$3:$Q$501,"=35")</f>
        <v>0</v>
      </c>
      <c r="M96" s="138">
        <f>SUMIFS('Plan rashoda za unos u SAP'!$K$3:$K$501,'Plan rashoda za unos u SAP'!$C$3:$C$501,"=559",'Plan rashoda za unos u SAP'!$N$3:$N$501,"=35")+SUMIFS('ANALITIKA EU PROJEKATA'!$I$3:$I$501,'ANALITIKA EU PROJEKATA'!$A$3:$A$501,"=559",'ANALITIKA EU PROJEKATA'!$Q$3:$Q$501,"=35")</f>
        <v>0</v>
      </c>
      <c r="N96" s="138">
        <f>SUMIFS('Plan rashoda za unos u SAP'!$K$3:$K$501,'Plan rashoda za unos u SAP'!$C$3:$C$501,"=561",'Plan rashoda za unos u SAP'!$N$3:$N$501,"=35")+SUMIFS('ANALITIKA EU PROJEKATA'!$I$3:$I$501,'ANALITIKA EU PROJEKATA'!$A$3:$A$501,"=561",'ANALITIKA EU PROJEKATA'!$Q$3:$Q$501,"=35")</f>
        <v>0</v>
      </c>
      <c r="O96" s="138">
        <f>SUMIFS('Plan rashoda za unos u SAP'!$K$3:$K$501,'Plan rashoda za unos u SAP'!$C$3:$C$501,"=563",'Plan rashoda za unos u SAP'!$N$3:$N$501,"=35")+SUMIFS('ANALITIKA EU PROJEKATA'!$I$3:$I$501,'ANALITIKA EU PROJEKATA'!$A$3:$A$501,"=563",'ANALITIKA EU PROJEKATA'!$Q$3:$Q$501,"=35")</f>
        <v>0</v>
      </c>
      <c r="P96" s="138">
        <f>SUMIFS('Plan rashoda za unos u SAP'!$K$3:$K$501,'Plan rashoda za unos u SAP'!$C$3:$C$501,"=573",'Plan rashoda za unos u SAP'!$N$3:$N$501,"=35")+SUMIFS('ANALITIKA EU PROJEKATA'!$I$3:$I$501,'ANALITIKA EU PROJEKATA'!$A$3:$A$501,"=573",'ANALITIKA EU PROJEKATA'!$Q$3:$Q$501,"=35")</f>
        <v>0</v>
      </c>
      <c r="Q96" s="138">
        <f>SUMIFS('Plan rashoda za unos u SAP'!$K$3:$K$501,'Plan rashoda za unos u SAP'!$C$3:$C$501,"=575",'Plan rashoda za unos u SAP'!$N$3:$N$501,"=35")+SUMIFS('ANALITIKA EU PROJEKATA'!$I$3:$I$501,'ANALITIKA EU PROJEKATA'!$A$3:$A$501,"=575",'ANALITIKA EU PROJEKATA'!$Q$3:$Q$501,"=35")</f>
        <v>0</v>
      </c>
      <c r="R96" s="138">
        <f>SUMIFS('Plan rashoda za unos u SAP'!$K$3:$K$501,'Plan rashoda za unos u SAP'!$C$3:$C$501,"=576",'Plan rashoda za unos u SAP'!$N$3:$N$501,"=35")+SUMIFS('ANALITIKA EU PROJEKATA'!$I$3:$I$501,'ANALITIKA EU PROJEKATA'!$A$3:$A$501,"=576",'ANALITIKA EU PROJEKATA'!$Q$3:$Q$501,"=35")</f>
        <v>0</v>
      </c>
      <c r="S96" s="138">
        <f>SUMIFS('Plan rashoda za unos u SAP'!$K$3:$K$501,'Plan rashoda za unos u SAP'!$C$3:$C$501,"=581",'Plan rashoda za unos u SAP'!$N$3:$N$501,"=35")+SUMIFS('ANALITIKA EU PROJEKATA'!$I$3:$I$501,'ANALITIKA EU PROJEKATA'!$A$3:$A$501,"=581",'ANALITIKA EU PROJEKATA'!$Q$3:$Q$501,"=35")</f>
        <v>0</v>
      </c>
      <c r="T96" s="138">
        <f>SUMIFS('Plan rashoda za unos u SAP'!$K$3:$K$501,'Plan rashoda za unos u SAP'!$C$3:$C$501,"=61",'Plan rashoda za unos u SAP'!$N$3:$N$501,"=35")+SUMIFS('ANALITIKA EU PROJEKATA'!$I$3:$I$501,'ANALITIKA EU PROJEKATA'!$A$3:$A$501,"=61",'ANALITIKA EU PROJEKATA'!$Q$3:$Q$501,"=35")</f>
        <v>0</v>
      </c>
      <c r="U96" s="138">
        <f>SUMIFS('Plan rashoda za unos u SAP'!$K$3:$K$501,'Plan rashoda za unos u SAP'!$C$3:$C$501,"=63",'Plan rashoda za unos u SAP'!$N$3:$N$501,"=35")+SUMIFS('ANALITIKA EU PROJEKATA'!$I$3:$I$501,'ANALITIKA EU PROJEKATA'!$A$3:$A$501,"=63",'ANALITIKA EU PROJEKATA'!$Q$3:$Q$501,"=35")</f>
        <v>0</v>
      </c>
      <c r="V96" s="138">
        <f>SUMIFS('Plan rashoda za unos u SAP'!$K$3:$K$501,'Plan rashoda za unos u SAP'!$C$3:$C$501,"=71",'Plan rashoda za unos u SAP'!$N$3:$N$501,"=35")+SUMIFS('ANALITIKA EU PROJEKATA'!$I$3:$I$501,'ANALITIKA EU PROJEKATA'!$A$3:$A$501,"=71",'ANALITIKA EU PROJEKATA'!$Q$3:$Q$501,"=35")</f>
        <v>0</v>
      </c>
      <c r="W96" s="138">
        <f>SUMIFS('Plan rashoda za unos u SAP'!$K$3:$K$501,'Plan rashoda za unos u SAP'!$C$3:$C$501,"=81",'Plan rashoda za unos u SAP'!$N$3:$N$501,"=35")+SUMIFS('ANALITIKA EU PROJEKATA'!$I$3:$I$501,'ANALITIKA EU PROJEKATA'!$A$3:$A$501,"=81",'ANALITIKA EU PROJEKATA'!$Q$3:$Q$501,"=35")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209</v>
      </c>
      <c r="D97" s="133">
        <f t="shared" si="27"/>
        <v>0</v>
      </c>
      <c r="E97" s="138">
        <f>SUMIFS('Plan rashoda za unos u SAP'!$K$3:$K$501,'Plan rashoda za unos u SAP'!$C$3:$C$501,"=11",'Plan rashoda za unos u SAP'!$N$3:$N$501,"=36")+SUMIFS('ANALITIKA EU PROJEKATA'!$I$3:$I$501,'ANALITIKA EU PROJEKATA'!$A$3:$A$501,"=11",'ANALITIKA EU PROJEKATA'!$Q$3:$Q$501,"=36")</f>
        <v>0</v>
      </c>
      <c r="F97" s="138">
        <f>SUMIFS('Plan rashoda za unos u SAP'!$K$3:$K$501,'Plan rashoda za unos u SAP'!$C$3:$C$501,"=12",'Plan rashoda za unos u SAP'!$N$3:$N$501,"=36")+SUMIFS('ANALITIKA EU PROJEKATA'!$I$3:$I$501,'ANALITIKA EU PROJEKATA'!$A$3:$A$501,"=12",'ANALITIKA EU PROJEKATA'!$Q$3:$Q$501,"=36")</f>
        <v>0</v>
      </c>
      <c r="G97" s="138">
        <f>SUMIFS('Plan rashoda za unos u SAP'!$K$3:$K$501,'Plan rashoda za unos u SAP'!$C$3:$C$501,"=31",'Plan rashoda za unos u SAP'!$N$3:$N$501,"=36")+SUMIFS('ANALITIKA EU PROJEKATA'!$I$3:$I$501,'ANALITIKA EU PROJEKATA'!$A$3:$A$501,"=31",'ANALITIKA EU PROJEKATA'!$Q$3:$Q$501,"=36")</f>
        <v>0</v>
      </c>
      <c r="H97" s="138">
        <f>SUMIFS('Plan rashoda za unos u SAP'!$K$3:$K$501,'Plan rashoda za unos u SAP'!$C$3:$C$501,"=41",'Plan rashoda za unos u SAP'!$N$3:$N$501,"=36")+SUMIFS('ANALITIKA EU PROJEKATA'!$I$3:$I$501,'ANALITIKA EU PROJEKATA'!$A$3:$A$501,"=41",'ANALITIKA EU PROJEKATA'!$Q$3:$Q$501,"=36")</f>
        <v>0</v>
      </c>
      <c r="I97" s="138">
        <f>SUMIFS('Plan rashoda za unos u SAP'!$K$3:$K$501,'Plan rashoda za unos u SAP'!$C$3:$C$501,"=43",'Plan rashoda za unos u SAP'!$N$3:$N$501,"=36")+SUMIFS('ANALITIKA EU PROJEKATA'!$I$3:$I$501,'ANALITIKA EU PROJEKATA'!$A$3:$A$501,"=43",'ANALITIKA EU PROJEKATA'!$Q$3:$Q$501,"=36")</f>
        <v>0</v>
      </c>
      <c r="J97" s="138">
        <f>SUMIFS('Plan rashoda za unos u SAP'!$K$3:$K$501,'Plan rashoda za unos u SAP'!$C$3:$C$501,"=51",'Plan rashoda za unos u SAP'!$N$3:$N$501,"=36")+SUMIFS('ANALITIKA EU PROJEKATA'!$I$3:$I$501,'ANALITIKA EU PROJEKATA'!$A$3:$A$501,"=51",'ANALITIKA EU PROJEKATA'!$Q$3:$Q$501,"=36")</f>
        <v>0</v>
      </c>
      <c r="K97" s="138">
        <f>SUMIFS('Plan rashoda za unos u SAP'!$K$3:$K$501,'Plan rashoda za unos u SAP'!$C$3:$C$501,"=52",'Plan rashoda za unos u SAP'!$N$3:$N$501,"=36")+SUMIFS('ANALITIKA EU PROJEKATA'!$I$3:$I$501,'ANALITIKA EU PROJEKATA'!$A$3:$A$501,"=52",'ANALITIKA EU PROJEKATA'!$Q$3:$Q$501,"=36")</f>
        <v>0</v>
      </c>
      <c r="L97" s="138">
        <f>SUMIFS('Plan rashoda za unos u SAP'!$K$3:$K$501,'Plan rashoda za unos u SAP'!$C$3:$C$501,"=552",'Plan rashoda za unos u SAP'!$N$3:$N$501,"=36")+SUMIFS('ANALITIKA EU PROJEKATA'!$I$3:$I$501,'ANALITIKA EU PROJEKATA'!$A$3:$A$501,"=552",'ANALITIKA EU PROJEKATA'!$Q$3:$Q$501,"=36")</f>
        <v>0</v>
      </c>
      <c r="M97" s="138">
        <f>SUMIFS('Plan rashoda za unos u SAP'!$K$3:$K$501,'Plan rashoda za unos u SAP'!$C$3:$C$501,"=559",'Plan rashoda za unos u SAP'!$N$3:$N$501,"=36")+SUMIFS('ANALITIKA EU PROJEKATA'!$I$3:$I$501,'ANALITIKA EU PROJEKATA'!$A$3:$A$501,"=559",'ANALITIKA EU PROJEKATA'!$Q$3:$Q$501,"=36")</f>
        <v>0</v>
      </c>
      <c r="N97" s="138">
        <f>SUMIFS('Plan rashoda za unos u SAP'!$K$3:$K$501,'Plan rashoda za unos u SAP'!$C$3:$C$501,"=561",'Plan rashoda za unos u SAP'!$N$3:$N$501,"=36")+SUMIFS('ANALITIKA EU PROJEKATA'!$I$3:$I$501,'ANALITIKA EU PROJEKATA'!$A$3:$A$501,"=561",'ANALITIKA EU PROJEKATA'!$Q$3:$Q$501,"=36")</f>
        <v>0</v>
      </c>
      <c r="O97" s="138">
        <f>SUMIFS('Plan rashoda za unos u SAP'!$K$3:$K$501,'Plan rashoda za unos u SAP'!$C$3:$C$501,"=563",'Plan rashoda za unos u SAP'!$N$3:$N$501,"=36")+SUMIFS('ANALITIKA EU PROJEKATA'!$I$3:$I$501,'ANALITIKA EU PROJEKATA'!$A$3:$A$501,"=563",'ANALITIKA EU PROJEKATA'!$Q$3:$Q$501,"=36")</f>
        <v>0</v>
      </c>
      <c r="P97" s="138">
        <f>SUMIFS('Plan rashoda za unos u SAP'!$K$3:$K$501,'Plan rashoda za unos u SAP'!$C$3:$C$501,"=573",'Plan rashoda za unos u SAP'!$N$3:$N$501,"=36")+SUMIFS('ANALITIKA EU PROJEKATA'!$I$3:$I$501,'ANALITIKA EU PROJEKATA'!$A$3:$A$501,"=573",'ANALITIKA EU PROJEKATA'!$Q$3:$Q$501,"=36")</f>
        <v>0</v>
      </c>
      <c r="Q97" s="138">
        <f>SUMIFS('Plan rashoda za unos u SAP'!$K$3:$K$501,'Plan rashoda za unos u SAP'!$C$3:$C$501,"=575",'Plan rashoda za unos u SAP'!$N$3:$N$501,"=36")+SUMIFS('ANALITIKA EU PROJEKATA'!$I$3:$I$501,'ANALITIKA EU PROJEKATA'!$A$3:$A$501,"=575",'ANALITIKA EU PROJEKATA'!$Q$3:$Q$501,"=36")</f>
        <v>0</v>
      </c>
      <c r="R97" s="138">
        <f>SUMIFS('Plan rashoda za unos u SAP'!$K$3:$K$501,'Plan rashoda za unos u SAP'!$C$3:$C$501,"=576",'Plan rashoda za unos u SAP'!$N$3:$N$501,"=36")+SUMIFS('ANALITIKA EU PROJEKATA'!$I$3:$I$501,'ANALITIKA EU PROJEKATA'!$A$3:$A$501,"=576",'ANALITIKA EU PROJEKATA'!$Q$3:$Q$501,"=36")</f>
        <v>0</v>
      </c>
      <c r="S97" s="138">
        <f>SUMIFS('Plan rashoda za unos u SAP'!$K$3:$K$501,'Plan rashoda za unos u SAP'!$C$3:$C$501,"=581",'Plan rashoda za unos u SAP'!$N$3:$N$501,"=36")+SUMIFS('ANALITIKA EU PROJEKATA'!$I$3:$I$501,'ANALITIKA EU PROJEKATA'!$A$3:$A$501,"=581",'ANALITIKA EU PROJEKATA'!$Q$3:$Q$501,"=36")</f>
        <v>0</v>
      </c>
      <c r="T97" s="138">
        <f>SUMIFS('Plan rashoda za unos u SAP'!$K$3:$K$501,'Plan rashoda za unos u SAP'!$C$3:$C$501,"=61",'Plan rashoda za unos u SAP'!$N$3:$N$501,"=36")+SUMIFS('ANALITIKA EU PROJEKATA'!$I$3:$I$501,'ANALITIKA EU PROJEKATA'!$A$3:$A$501,"=61",'ANALITIKA EU PROJEKATA'!$Q$3:$Q$501,"=36")</f>
        <v>0</v>
      </c>
      <c r="U97" s="138">
        <f>SUMIFS('Plan rashoda za unos u SAP'!$K$3:$K$501,'Plan rashoda za unos u SAP'!$C$3:$C$501,"=63",'Plan rashoda za unos u SAP'!$N$3:$N$501,"=36")+SUMIFS('ANALITIKA EU PROJEKATA'!$I$3:$I$501,'ANALITIKA EU PROJEKATA'!$A$3:$A$501,"=63",'ANALITIKA EU PROJEKATA'!$Q$3:$Q$501,"=36")</f>
        <v>0</v>
      </c>
      <c r="V97" s="138">
        <f>SUMIFS('Plan rashoda za unos u SAP'!$K$3:$K$501,'Plan rashoda za unos u SAP'!$C$3:$C$501,"=71",'Plan rashoda za unos u SAP'!$N$3:$N$501,"=36")+SUMIFS('ANALITIKA EU PROJEKATA'!$I$3:$I$501,'ANALITIKA EU PROJEKATA'!$A$3:$A$501,"=71",'ANALITIKA EU PROJEKATA'!$Q$3:$Q$501,"=36")</f>
        <v>0</v>
      </c>
      <c r="W97" s="138">
        <f>SUMIFS('Plan rashoda za unos u SAP'!$K$3:$K$501,'Plan rashoda za unos u SAP'!$C$3:$C$501,"=81",'Plan rashoda za unos u SAP'!$N$3:$N$501,"=36")+SUMIFS('ANALITIKA EU PROJEKATA'!$I$3:$I$501,'ANALITIKA EU PROJEKATA'!$A$3:$A$501,"=81",'ANALITIKA EU PROJEKATA'!$Q$3:$Q$501,"=36")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328</v>
      </c>
      <c r="D98" s="133">
        <f t="shared" si="27"/>
        <v>30000</v>
      </c>
      <c r="E98" s="138">
        <f>SUMIFS('Plan rashoda za unos u SAP'!$K$3:$K$501,'Plan rashoda za unos u SAP'!$C$3:$C$501,"=11",'Plan rashoda za unos u SAP'!$N$3:$N$501,"=37")+SUMIFS('ANALITIKA EU PROJEKATA'!$I$3:$I$501,'ANALITIKA EU PROJEKATA'!$A$3:$A$501,"=11",'ANALITIKA EU PROJEKATA'!$Q$3:$Q$501,"=37")</f>
        <v>0</v>
      </c>
      <c r="F98" s="138">
        <f>SUMIFS('Plan rashoda za unos u SAP'!$K$3:$K$501,'Plan rashoda za unos u SAP'!$C$3:$C$501,"=12",'Plan rashoda za unos u SAP'!$N$3:$N$501,"=37")+SUMIFS('ANALITIKA EU PROJEKATA'!$I$3:$I$501,'ANALITIKA EU PROJEKATA'!$A$3:$A$501,"=12",'ANALITIKA EU PROJEKATA'!$Q$3:$Q$501,"=37")</f>
        <v>0</v>
      </c>
      <c r="G98" s="138">
        <f>SUMIFS('Plan rashoda za unos u SAP'!$K$3:$K$501,'Plan rashoda za unos u SAP'!$C$3:$C$501,"=31",'Plan rashoda za unos u SAP'!$N$3:$N$501,"=37")+SUMIFS('ANALITIKA EU PROJEKATA'!$I$3:$I$501,'ANALITIKA EU PROJEKATA'!$A$3:$A$501,"=31",'ANALITIKA EU PROJEKATA'!$Q$3:$Q$501,"=37")</f>
        <v>0</v>
      </c>
      <c r="H98" s="138">
        <f>SUMIFS('Plan rashoda za unos u SAP'!$K$3:$K$501,'Plan rashoda za unos u SAP'!$C$3:$C$501,"=41",'Plan rashoda za unos u SAP'!$N$3:$N$501,"=37")+SUMIFS('ANALITIKA EU PROJEKATA'!$I$3:$I$501,'ANALITIKA EU PROJEKATA'!$A$3:$A$501,"=41",'ANALITIKA EU PROJEKATA'!$Q$3:$Q$501,"=37")</f>
        <v>0</v>
      </c>
      <c r="I98" s="138">
        <f>SUMIFS('Plan rashoda za unos u SAP'!$K$3:$K$501,'Plan rashoda za unos u SAP'!$C$3:$C$501,"=43",'Plan rashoda za unos u SAP'!$N$3:$N$501,"=37")+SUMIFS('ANALITIKA EU PROJEKATA'!$I$3:$I$501,'ANALITIKA EU PROJEKATA'!$A$3:$A$501,"=43",'ANALITIKA EU PROJEKATA'!$Q$3:$Q$501,"=37")</f>
        <v>30000</v>
      </c>
      <c r="J98" s="138">
        <f>SUMIFS('Plan rashoda za unos u SAP'!$K$3:$K$501,'Plan rashoda za unos u SAP'!$C$3:$C$501,"=51",'Plan rashoda za unos u SAP'!$N$3:$N$501,"=37")+SUMIFS('ANALITIKA EU PROJEKATA'!$I$3:$I$501,'ANALITIKA EU PROJEKATA'!$A$3:$A$501,"=51",'ANALITIKA EU PROJEKATA'!$Q$3:$Q$501,"=37")</f>
        <v>0</v>
      </c>
      <c r="K98" s="138">
        <f>SUMIFS('Plan rashoda za unos u SAP'!$K$3:$K$501,'Plan rashoda za unos u SAP'!$C$3:$C$501,"=52",'Plan rashoda za unos u SAP'!$N$3:$N$501,"=37")+SUMIFS('ANALITIKA EU PROJEKATA'!$I$3:$I$501,'ANALITIKA EU PROJEKATA'!$A$3:$A$501,"=52",'ANALITIKA EU PROJEKATA'!$Q$3:$Q$501,"=37")</f>
        <v>0</v>
      </c>
      <c r="L98" s="138">
        <f>SUMIFS('Plan rashoda za unos u SAP'!$K$3:$K$501,'Plan rashoda za unos u SAP'!$C$3:$C$501,"=552",'Plan rashoda za unos u SAP'!$N$3:$N$501,"=37")+SUMIFS('ANALITIKA EU PROJEKATA'!$I$3:$I$501,'ANALITIKA EU PROJEKATA'!$A$3:$A$501,"=552",'ANALITIKA EU PROJEKATA'!$Q$3:$Q$501,"=37")</f>
        <v>0</v>
      </c>
      <c r="M98" s="138">
        <f>SUMIFS('Plan rashoda za unos u SAP'!$K$3:$K$501,'Plan rashoda za unos u SAP'!$C$3:$C$501,"=559",'Plan rashoda za unos u SAP'!$N$3:$N$501,"=37")+SUMIFS('ANALITIKA EU PROJEKATA'!$I$3:$I$501,'ANALITIKA EU PROJEKATA'!$A$3:$A$501,"=559",'ANALITIKA EU PROJEKATA'!$Q$3:$Q$501,"=37")</f>
        <v>0</v>
      </c>
      <c r="N98" s="138">
        <f>SUMIFS('Plan rashoda za unos u SAP'!$K$3:$K$501,'Plan rashoda za unos u SAP'!$C$3:$C$501,"=561",'Plan rashoda za unos u SAP'!$N$3:$N$501,"=37")+SUMIFS('ANALITIKA EU PROJEKATA'!$I$3:$I$501,'ANALITIKA EU PROJEKATA'!$A$3:$A$501,"=561",'ANALITIKA EU PROJEKATA'!$Q$3:$Q$501,"=37")</f>
        <v>0</v>
      </c>
      <c r="O98" s="138">
        <f>SUMIFS('Plan rashoda za unos u SAP'!$K$3:$K$501,'Plan rashoda za unos u SAP'!$C$3:$C$501,"=563",'Plan rashoda za unos u SAP'!$N$3:$N$501,"=37")+SUMIFS('ANALITIKA EU PROJEKATA'!$I$3:$I$501,'ANALITIKA EU PROJEKATA'!$A$3:$A$501,"=563",'ANALITIKA EU PROJEKATA'!$Q$3:$Q$501,"=37")</f>
        <v>0</v>
      </c>
      <c r="P98" s="138">
        <f>SUMIFS('Plan rashoda za unos u SAP'!$K$3:$K$501,'Plan rashoda za unos u SAP'!$C$3:$C$501,"=573",'Plan rashoda za unos u SAP'!$N$3:$N$501,"=37")+SUMIFS('ANALITIKA EU PROJEKATA'!$I$3:$I$501,'ANALITIKA EU PROJEKATA'!$A$3:$A$501,"=573",'ANALITIKA EU PROJEKATA'!$Q$3:$Q$501,"=37")</f>
        <v>0</v>
      </c>
      <c r="Q98" s="138">
        <f>SUMIFS('Plan rashoda za unos u SAP'!$K$3:$K$501,'Plan rashoda za unos u SAP'!$C$3:$C$501,"=575",'Plan rashoda za unos u SAP'!$N$3:$N$501,"=37")+SUMIFS('ANALITIKA EU PROJEKATA'!$I$3:$I$501,'ANALITIKA EU PROJEKATA'!$A$3:$A$501,"=575",'ANALITIKA EU PROJEKATA'!$Q$3:$Q$501,"=37")</f>
        <v>0</v>
      </c>
      <c r="R98" s="138">
        <f>SUMIFS('Plan rashoda za unos u SAP'!$K$3:$K$501,'Plan rashoda za unos u SAP'!$C$3:$C$501,"=576",'Plan rashoda za unos u SAP'!$N$3:$N$501,"=37")+SUMIFS('ANALITIKA EU PROJEKATA'!$I$3:$I$501,'ANALITIKA EU PROJEKATA'!$A$3:$A$501,"=576",'ANALITIKA EU PROJEKATA'!$Q$3:$Q$501,"=37")</f>
        <v>0</v>
      </c>
      <c r="S98" s="138">
        <f>SUMIFS('Plan rashoda za unos u SAP'!$K$3:$K$501,'Plan rashoda za unos u SAP'!$C$3:$C$501,"=581",'Plan rashoda za unos u SAP'!$N$3:$N$501,"=37")+SUMIFS('ANALITIKA EU PROJEKATA'!$I$3:$I$501,'ANALITIKA EU PROJEKATA'!$A$3:$A$501,"=581",'ANALITIKA EU PROJEKATA'!$Q$3:$Q$501,"=37")</f>
        <v>0</v>
      </c>
      <c r="T98" s="138">
        <f>SUMIFS('Plan rashoda za unos u SAP'!$K$3:$K$501,'Plan rashoda za unos u SAP'!$C$3:$C$501,"=61",'Plan rashoda za unos u SAP'!$N$3:$N$501,"=37")+SUMIFS('ANALITIKA EU PROJEKATA'!$I$3:$I$501,'ANALITIKA EU PROJEKATA'!$A$3:$A$501,"=61",'ANALITIKA EU PROJEKATA'!$Q$3:$Q$501,"=37")</f>
        <v>0</v>
      </c>
      <c r="U98" s="138">
        <f>SUMIFS('Plan rashoda za unos u SAP'!$K$3:$K$501,'Plan rashoda za unos u SAP'!$C$3:$C$501,"=63",'Plan rashoda za unos u SAP'!$N$3:$N$501,"=37")+SUMIFS('ANALITIKA EU PROJEKATA'!$I$3:$I$501,'ANALITIKA EU PROJEKATA'!$A$3:$A$501,"=63",'ANALITIKA EU PROJEKATA'!$Q$3:$Q$501,"=37")</f>
        <v>0</v>
      </c>
      <c r="V98" s="138">
        <f>SUMIFS('Plan rashoda za unos u SAP'!$K$3:$K$501,'Plan rashoda za unos u SAP'!$C$3:$C$501,"=71",'Plan rashoda za unos u SAP'!$N$3:$N$501,"=37")+SUMIFS('ANALITIKA EU PROJEKATA'!$I$3:$I$501,'ANALITIKA EU PROJEKATA'!$A$3:$A$501,"=71",'ANALITIKA EU PROJEKATA'!$Q$3:$Q$501,"=37")</f>
        <v>0</v>
      </c>
      <c r="W98" s="138">
        <f>SUMIFS('Plan rashoda za unos u SAP'!$K$3:$K$501,'Plan rashoda za unos u SAP'!$C$3:$C$501,"=81",'Plan rashoda za unos u SAP'!$N$3:$N$501,"=37")+SUMIFS('ANALITIKA EU PROJEKATA'!$I$3:$I$501,'ANALITIKA EU PROJEKATA'!$A$3:$A$501,"=81",'ANALITIKA EU PROJEKATA'!$Q$3:$Q$501,"=37")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211</v>
      </c>
      <c r="D99" s="133">
        <f t="shared" si="27"/>
        <v>34000</v>
      </c>
      <c r="E99" s="138">
        <f>SUMIFS('Plan rashoda za unos u SAP'!$K$3:$K$501,'Plan rashoda za unos u SAP'!$C$3:$C$501,"=11",'Plan rashoda za unos u SAP'!$N$3:$N$501,"=38")+SUMIFS('ANALITIKA EU PROJEKATA'!$I$3:$I$501,'ANALITIKA EU PROJEKATA'!$A$3:$A$501,"=11",'ANALITIKA EU PROJEKATA'!$Q$3:$Q$501,"=38")</f>
        <v>0</v>
      </c>
      <c r="F99" s="138">
        <f>SUMIFS('Plan rashoda za unos u SAP'!$K$3:$K$501,'Plan rashoda za unos u SAP'!$C$3:$C$501,"=12",'Plan rashoda za unos u SAP'!$N$3:$N$501,"=38")+SUMIFS('ANALITIKA EU PROJEKATA'!$I$3:$I$501,'ANALITIKA EU PROJEKATA'!$A$3:$A$501,"=12",'ANALITIKA EU PROJEKATA'!$Q$3:$Q$501,"=38")</f>
        <v>0</v>
      </c>
      <c r="G99" s="138">
        <f>SUMIFS('Plan rashoda za unos u SAP'!$K$3:$K$501,'Plan rashoda za unos u SAP'!$C$3:$C$501,"=31",'Plan rashoda za unos u SAP'!$N$3:$N$501,"=38")+SUMIFS('ANALITIKA EU PROJEKATA'!$I$3:$I$501,'ANALITIKA EU PROJEKATA'!$A$3:$A$501,"=31",'ANALITIKA EU PROJEKATA'!$Q$3:$Q$501,"=38")</f>
        <v>0</v>
      </c>
      <c r="H99" s="138">
        <f>SUMIFS('Plan rashoda za unos u SAP'!$K$3:$K$501,'Plan rashoda za unos u SAP'!$C$3:$C$501,"=41",'Plan rashoda za unos u SAP'!$N$3:$N$501,"=38")+SUMIFS('ANALITIKA EU PROJEKATA'!$I$3:$I$501,'ANALITIKA EU PROJEKATA'!$A$3:$A$501,"=41",'ANALITIKA EU PROJEKATA'!$Q$3:$Q$501,"=38")</f>
        <v>0</v>
      </c>
      <c r="I99" s="138">
        <f>SUMIFS('Plan rashoda za unos u SAP'!$K$3:$K$501,'Plan rashoda za unos u SAP'!$C$3:$C$501,"=43",'Plan rashoda za unos u SAP'!$N$3:$N$501,"=38")+SUMIFS('ANALITIKA EU PROJEKATA'!$I$3:$I$501,'ANALITIKA EU PROJEKATA'!$A$3:$A$501,"=43",'ANALITIKA EU PROJEKATA'!$Q$3:$Q$501,"=38")</f>
        <v>34000</v>
      </c>
      <c r="J99" s="138">
        <f>SUMIFS('Plan rashoda za unos u SAP'!$K$3:$K$501,'Plan rashoda za unos u SAP'!$C$3:$C$501,"=51",'Plan rashoda za unos u SAP'!$N$3:$N$501,"=38")+SUMIFS('ANALITIKA EU PROJEKATA'!$I$3:$I$501,'ANALITIKA EU PROJEKATA'!$A$3:$A$501,"=51",'ANALITIKA EU PROJEKATA'!$Q$3:$Q$501,"=38")</f>
        <v>0</v>
      </c>
      <c r="K99" s="138">
        <f>SUMIFS('Plan rashoda za unos u SAP'!$K$3:$K$501,'Plan rashoda za unos u SAP'!$C$3:$C$501,"=52",'Plan rashoda za unos u SAP'!$N$3:$N$501,"=38")+SUMIFS('ANALITIKA EU PROJEKATA'!$I$3:$I$501,'ANALITIKA EU PROJEKATA'!$A$3:$A$501,"=52",'ANALITIKA EU PROJEKATA'!$Q$3:$Q$501,"=38")</f>
        <v>0</v>
      </c>
      <c r="L99" s="138">
        <f>SUMIFS('Plan rashoda za unos u SAP'!$K$3:$K$501,'Plan rashoda za unos u SAP'!$C$3:$C$501,"=552",'Plan rashoda za unos u SAP'!$N$3:$N$501,"=38")+SUMIFS('ANALITIKA EU PROJEKATA'!$I$3:$I$501,'ANALITIKA EU PROJEKATA'!$A$3:$A$501,"=552",'ANALITIKA EU PROJEKATA'!$Q$3:$Q$501,"=38")</f>
        <v>0</v>
      </c>
      <c r="M99" s="138">
        <f>SUMIFS('Plan rashoda za unos u SAP'!$K$3:$K$501,'Plan rashoda za unos u SAP'!$C$3:$C$501,"=559",'Plan rashoda za unos u SAP'!$N$3:$N$501,"=38")+SUMIFS('ANALITIKA EU PROJEKATA'!$I$3:$I$501,'ANALITIKA EU PROJEKATA'!$A$3:$A$501,"=559",'ANALITIKA EU PROJEKATA'!$Q$3:$Q$501,"=38")</f>
        <v>0</v>
      </c>
      <c r="N99" s="138">
        <f>SUMIFS('Plan rashoda za unos u SAP'!$K$3:$K$501,'Plan rashoda za unos u SAP'!$C$3:$C$501,"=561",'Plan rashoda za unos u SAP'!$N$3:$N$501,"=38")+SUMIFS('ANALITIKA EU PROJEKATA'!$I$3:$I$501,'ANALITIKA EU PROJEKATA'!$A$3:$A$501,"=561",'ANALITIKA EU PROJEKATA'!$Q$3:$Q$501,"=38")</f>
        <v>0</v>
      </c>
      <c r="O99" s="138">
        <f>SUMIFS('Plan rashoda za unos u SAP'!$K$3:$K$501,'Plan rashoda za unos u SAP'!$C$3:$C$501,"=563",'Plan rashoda za unos u SAP'!$N$3:$N$501,"=38")+SUMIFS('ANALITIKA EU PROJEKATA'!$I$3:$I$501,'ANALITIKA EU PROJEKATA'!$A$3:$A$501,"=563",'ANALITIKA EU PROJEKATA'!$Q$3:$Q$501,"=38")</f>
        <v>0</v>
      </c>
      <c r="P99" s="138">
        <f>SUMIFS('Plan rashoda za unos u SAP'!$K$3:$K$501,'Plan rashoda za unos u SAP'!$C$3:$C$501,"=573",'Plan rashoda za unos u SAP'!$N$3:$N$501,"=38")+SUMIFS('ANALITIKA EU PROJEKATA'!$I$3:$I$501,'ANALITIKA EU PROJEKATA'!$A$3:$A$501,"=573",'ANALITIKA EU PROJEKATA'!$Q$3:$Q$501,"=38")</f>
        <v>0</v>
      </c>
      <c r="Q99" s="138">
        <f>SUMIFS('Plan rashoda za unos u SAP'!$K$3:$K$501,'Plan rashoda za unos u SAP'!$C$3:$C$501,"=575",'Plan rashoda za unos u SAP'!$N$3:$N$501,"=38")+SUMIFS('ANALITIKA EU PROJEKATA'!$I$3:$I$501,'ANALITIKA EU PROJEKATA'!$A$3:$A$501,"=575",'ANALITIKA EU PROJEKATA'!$Q$3:$Q$501,"=38")</f>
        <v>0</v>
      </c>
      <c r="R99" s="138">
        <f>SUMIFS('Plan rashoda za unos u SAP'!$K$3:$K$501,'Plan rashoda za unos u SAP'!$C$3:$C$501,"=576",'Plan rashoda za unos u SAP'!$N$3:$N$501,"=38")+SUMIFS('ANALITIKA EU PROJEKATA'!$I$3:$I$501,'ANALITIKA EU PROJEKATA'!$A$3:$A$501,"=576",'ANALITIKA EU PROJEKATA'!$Q$3:$Q$501,"=38")</f>
        <v>0</v>
      </c>
      <c r="S99" s="138">
        <f>SUMIFS('Plan rashoda za unos u SAP'!$K$3:$K$501,'Plan rashoda za unos u SAP'!$C$3:$C$501,"=581",'Plan rashoda za unos u SAP'!$N$3:$N$501,"=38")+SUMIFS('ANALITIKA EU PROJEKATA'!$I$3:$I$501,'ANALITIKA EU PROJEKATA'!$A$3:$A$501,"=581",'ANALITIKA EU PROJEKATA'!$Q$3:$Q$501,"=38")</f>
        <v>0</v>
      </c>
      <c r="T99" s="138">
        <f>SUMIFS('Plan rashoda za unos u SAP'!$K$3:$K$501,'Plan rashoda za unos u SAP'!$C$3:$C$501,"=61",'Plan rashoda za unos u SAP'!$N$3:$N$501,"=38")+SUMIFS('ANALITIKA EU PROJEKATA'!$I$3:$I$501,'ANALITIKA EU PROJEKATA'!$A$3:$A$501,"=61",'ANALITIKA EU PROJEKATA'!$Q$3:$Q$501,"=38")</f>
        <v>0</v>
      </c>
      <c r="U99" s="138">
        <f>SUMIFS('Plan rashoda za unos u SAP'!$K$3:$K$501,'Plan rashoda za unos u SAP'!$C$3:$C$501,"=63",'Plan rashoda za unos u SAP'!$N$3:$N$501,"=38")+SUMIFS('ANALITIKA EU PROJEKATA'!$I$3:$I$501,'ANALITIKA EU PROJEKATA'!$A$3:$A$501,"=63",'ANALITIKA EU PROJEKATA'!$Q$3:$Q$501,"=38")</f>
        <v>0</v>
      </c>
      <c r="V99" s="138">
        <f>SUMIFS('Plan rashoda za unos u SAP'!$K$3:$K$501,'Plan rashoda za unos u SAP'!$C$3:$C$501,"=71",'Plan rashoda za unos u SAP'!$N$3:$N$501,"=38")+SUMIFS('ANALITIKA EU PROJEKATA'!$I$3:$I$501,'ANALITIKA EU PROJEKATA'!$A$3:$A$501,"=71",'ANALITIKA EU PROJEKATA'!$Q$3:$Q$501,"=38")</f>
        <v>0</v>
      </c>
      <c r="W99" s="138">
        <f>SUMIFS('Plan rashoda za unos u SAP'!$K$3:$K$501,'Plan rashoda za unos u SAP'!$C$3:$C$501,"=81",'Plan rashoda za unos u SAP'!$N$3:$N$501,"=38")+SUMIFS('ANALITIKA EU PROJEKATA'!$I$3:$I$501,'ANALITIKA EU PROJEKATA'!$A$3:$A$501,"=81",'ANALITIKA EU PROJEKATA'!$Q$3:$Q$501,"=38")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213</v>
      </c>
      <c r="D100" s="126">
        <f t="shared" si="27"/>
        <v>3016000</v>
      </c>
      <c r="E100" s="131">
        <f t="shared" ref="E100:G100" si="33">SUM(E101:E105)</f>
        <v>168000</v>
      </c>
      <c r="F100" s="131">
        <f t="shared" si="33"/>
        <v>0</v>
      </c>
      <c r="G100" s="131">
        <f t="shared" si="33"/>
        <v>231000</v>
      </c>
      <c r="H100" s="131">
        <f>SUM(H101:H105)</f>
        <v>0</v>
      </c>
      <c r="I100" s="131">
        <f t="shared" ref="I100:K100" si="34">SUM(I101:I105)</f>
        <v>2471500</v>
      </c>
      <c r="J100" s="131">
        <f t="shared" si="34"/>
        <v>0</v>
      </c>
      <c r="K100" s="131">
        <f t="shared" si="34"/>
        <v>145500</v>
      </c>
      <c r="L100" s="131">
        <f>SUM(L101:L105)</f>
        <v>0</v>
      </c>
      <c r="M100" s="131">
        <f t="shared" ref="M100:O100" si="35">SUM(M101:M105)</f>
        <v>0</v>
      </c>
      <c r="N100" s="131">
        <f t="shared" si="35"/>
        <v>0</v>
      </c>
      <c r="O100" s="131">
        <f t="shared" si="35"/>
        <v>0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>SUM(S101:S105)</f>
        <v>0</v>
      </c>
      <c r="T100" s="131">
        <f t="shared" ref="T100:W100" si="36">SUM(T101:T105)</f>
        <v>0</v>
      </c>
      <c r="U100" s="131">
        <f t="shared" si="36"/>
        <v>0</v>
      </c>
      <c r="V100" s="131">
        <f t="shared" si="36"/>
        <v>0</v>
      </c>
      <c r="W100" s="131">
        <f t="shared" si="36"/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333</v>
      </c>
      <c r="D101" s="133">
        <f t="shared" si="27"/>
        <v>0</v>
      </c>
      <c r="E101" s="138">
        <f>SUMIFS('Plan rashoda za unos u SAP'!$K$3:$K$501,'Plan rashoda za unos u SAP'!$C$3:$C$501,"=11",'Plan rashoda za unos u SAP'!$N$3:$N$501,"=41")+SUMIFS('ANALITIKA EU PROJEKATA'!$I$3:$I$501,'ANALITIKA EU PROJEKATA'!$A$3:$A$501,"=11",'ANALITIKA EU PROJEKATA'!$Q$3:$Q$501,"=41")</f>
        <v>0</v>
      </c>
      <c r="F101" s="138">
        <f>SUMIFS('Plan rashoda za unos u SAP'!$K$3:$K$501,'Plan rashoda za unos u SAP'!$C$3:$C$501,"=12",'Plan rashoda za unos u SAP'!$N$3:$N$501,"=41")+SUMIFS('ANALITIKA EU PROJEKATA'!$I$3:$I$501,'ANALITIKA EU PROJEKATA'!$A$3:$A$501,"=12",'ANALITIKA EU PROJEKATA'!$Q$3:$Q$501,"=41")</f>
        <v>0</v>
      </c>
      <c r="G101" s="138">
        <f>SUMIFS('Plan rashoda za unos u SAP'!$K$3:$K$501,'Plan rashoda za unos u SAP'!$C$3:$C$501,"=31",'Plan rashoda za unos u SAP'!$N$3:$N$501,"=41")+SUMIFS('ANALITIKA EU PROJEKATA'!$I$3:$I$501,'ANALITIKA EU PROJEKATA'!$A$3:$A$501,"=31",'ANALITIKA EU PROJEKATA'!$Q$3:$Q$501,"=41")</f>
        <v>0</v>
      </c>
      <c r="H101" s="138">
        <f>SUMIFS('Plan rashoda za unos u SAP'!$K$3:$K$501,'Plan rashoda za unos u SAP'!$C$3:$C$501,"=41",'Plan rashoda za unos u SAP'!$N$3:$N$501,"=41")+SUMIFS('ANALITIKA EU PROJEKATA'!$I$3:$I$501,'ANALITIKA EU PROJEKATA'!$A$3:$A$501,"=41",'ANALITIKA EU PROJEKATA'!$Q$3:$Q$501,"=41")</f>
        <v>0</v>
      </c>
      <c r="I101" s="138">
        <f>SUMIFS('Plan rashoda za unos u SAP'!$K$3:$K$501,'Plan rashoda za unos u SAP'!$C$3:$C$501,"=43",'Plan rashoda za unos u SAP'!$N$3:$N$501,"=41")+SUMIFS('ANALITIKA EU PROJEKATA'!$I$3:$I$501,'ANALITIKA EU PROJEKATA'!$A$3:$A$501,"=43",'ANALITIKA EU PROJEKATA'!$Q$3:$Q$501,"=41")</f>
        <v>0</v>
      </c>
      <c r="J101" s="138">
        <f>SUMIFS('Plan rashoda za unos u SAP'!$K$3:$K$501,'Plan rashoda za unos u SAP'!$C$3:$C$501,"=51",'Plan rashoda za unos u SAP'!$N$3:$N$501,"=41")+SUMIFS('ANALITIKA EU PROJEKATA'!$I$3:$I$501,'ANALITIKA EU PROJEKATA'!$A$3:$A$501,"=51",'ANALITIKA EU PROJEKATA'!$Q$3:$Q$501,"=41")</f>
        <v>0</v>
      </c>
      <c r="K101" s="138">
        <f>SUMIFS('Plan rashoda za unos u SAP'!$K$3:$K$501,'Plan rashoda za unos u SAP'!$C$3:$C$501,"=52",'Plan rashoda za unos u SAP'!$N$3:$N$501,"=41")+SUMIFS('ANALITIKA EU PROJEKATA'!$I$3:$I$501,'ANALITIKA EU PROJEKATA'!$A$3:$A$501,"=52",'ANALITIKA EU PROJEKATA'!$Q$3:$Q$501,"=41")</f>
        <v>0</v>
      </c>
      <c r="L101" s="138">
        <f>SUMIFS('Plan rashoda za unos u SAP'!$K$3:$K$501,'Plan rashoda za unos u SAP'!$C$3:$C$501,"=552",'Plan rashoda za unos u SAP'!$N$3:$N$501,"=41")+SUMIFS('ANALITIKA EU PROJEKATA'!$I$3:$I$501,'ANALITIKA EU PROJEKATA'!$A$3:$A$501,"=552",'ANALITIKA EU PROJEKATA'!$Q$3:$Q$501,"=41")</f>
        <v>0</v>
      </c>
      <c r="M101" s="138">
        <f>SUMIFS('Plan rashoda za unos u SAP'!$K$3:$K$501,'Plan rashoda za unos u SAP'!$C$3:$C$501,"=559",'Plan rashoda za unos u SAP'!$N$3:$N$501,"=41")+SUMIFS('ANALITIKA EU PROJEKATA'!$I$3:$I$501,'ANALITIKA EU PROJEKATA'!$A$3:$A$501,"=559",'ANALITIKA EU PROJEKATA'!$Q$3:$Q$501,"=41")</f>
        <v>0</v>
      </c>
      <c r="N101" s="138">
        <f>SUMIFS('Plan rashoda za unos u SAP'!$K$3:$K$501,'Plan rashoda za unos u SAP'!$C$3:$C$501,"=561",'Plan rashoda za unos u SAP'!$N$3:$N$501,"=41")+SUMIFS('ANALITIKA EU PROJEKATA'!$I$3:$I$501,'ANALITIKA EU PROJEKATA'!$A$3:$A$501,"=561",'ANALITIKA EU PROJEKATA'!$Q$3:$Q$501,"=41")</f>
        <v>0</v>
      </c>
      <c r="O101" s="138">
        <f>SUMIFS('Plan rashoda za unos u SAP'!$K$3:$K$501,'Plan rashoda za unos u SAP'!$C$3:$C$501,"=563",'Plan rashoda za unos u SAP'!$N$3:$N$501,"=41")+SUMIFS('ANALITIKA EU PROJEKATA'!$I$3:$I$501,'ANALITIKA EU PROJEKATA'!$A$3:$A$501,"=563",'ANALITIKA EU PROJEKATA'!$Q$3:$Q$501,"=41")</f>
        <v>0</v>
      </c>
      <c r="P101" s="138">
        <f>SUMIFS('Plan rashoda za unos u SAP'!$K$3:$K$501,'Plan rashoda za unos u SAP'!$C$3:$C$501,"=573",'Plan rashoda za unos u SAP'!$N$3:$N$501,"=41")+SUMIFS('ANALITIKA EU PROJEKATA'!$I$3:$I$501,'ANALITIKA EU PROJEKATA'!$A$3:$A$501,"=573",'ANALITIKA EU PROJEKATA'!$Q$3:$Q$501,"=41")</f>
        <v>0</v>
      </c>
      <c r="Q101" s="138">
        <f>SUMIFS('Plan rashoda za unos u SAP'!$K$3:$K$501,'Plan rashoda za unos u SAP'!$C$3:$C$501,"=575",'Plan rashoda za unos u SAP'!$N$3:$N$501,"=41")+SUMIFS('ANALITIKA EU PROJEKATA'!$I$3:$I$501,'ANALITIKA EU PROJEKATA'!$A$3:$A$501,"=575",'ANALITIKA EU PROJEKATA'!$Q$3:$Q$501,"=41")</f>
        <v>0</v>
      </c>
      <c r="R101" s="138">
        <f>SUMIFS('Plan rashoda za unos u SAP'!$K$3:$K$501,'Plan rashoda za unos u SAP'!$C$3:$C$501,"=576",'Plan rashoda za unos u SAP'!$N$3:$N$501,"=41")+SUMIFS('ANALITIKA EU PROJEKATA'!$I$3:$I$501,'ANALITIKA EU PROJEKATA'!$A$3:$A$501,"=576",'ANALITIKA EU PROJEKATA'!$Q$3:$Q$501,"=41")</f>
        <v>0</v>
      </c>
      <c r="S101" s="138">
        <f>SUMIFS('Plan rashoda za unos u SAP'!$K$3:$K$501,'Plan rashoda za unos u SAP'!$C$3:$C$501,"=581",'Plan rashoda za unos u SAP'!$N$3:$N$501,"=41")+SUMIFS('ANALITIKA EU PROJEKATA'!$I$3:$I$501,'ANALITIKA EU PROJEKATA'!$A$3:$A$501,"=581",'ANALITIKA EU PROJEKATA'!$Q$3:$Q$501,"=41")</f>
        <v>0</v>
      </c>
      <c r="T101" s="138">
        <f>SUMIFS('Plan rashoda za unos u SAP'!$K$3:$K$501,'Plan rashoda za unos u SAP'!$C$3:$C$501,"=61",'Plan rashoda za unos u SAP'!$N$3:$N$501,"=41")+SUMIFS('ANALITIKA EU PROJEKATA'!$I$3:$I$501,'ANALITIKA EU PROJEKATA'!$A$3:$A$501,"=61",'ANALITIKA EU PROJEKATA'!$Q$3:$Q$501,"=41")</f>
        <v>0</v>
      </c>
      <c r="U101" s="138">
        <f>SUMIFS('Plan rashoda za unos u SAP'!$K$3:$K$501,'Plan rashoda za unos u SAP'!$C$3:$C$501,"=63",'Plan rashoda za unos u SAP'!$N$3:$N$501,"=41")+SUMIFS('ANALITIKA EU PROJEKATA'!$I$3:$I$501,'ANALITIKA EU PROJEKATA'!$A$3:$A$501,"=63",'ANALITIKA EU PROJEKATA'!$Q$3:$Q$501,"=41")</f>
        <v>0</v>
      </c>
      <c r="V101" s="138">
        <f>SUMIFS('Plan rashoda za unos u SAP'!$K$3:$K$501,'Plan rashoda za unos u SAP'!$C$3:$C$501,"=71",'Plan rashoda za unos u SAP'!$N$3:$N$501,"=41")+SUMIFS('ANALITIKA EU PROJEKATA'!$I$3:$I$501,'ANALITIKA EU PROJEKATA'!$A$3:$A$501,"=71",'ANALITIKA EU PROJEKATA'!$Q$3:$Q$501,"=41")</f>
        <v>0</v>
      </c>
      <c r="W101" s="138">
        <f>SUMIFS('Plan rashoda za unos u SAP'!$K$3:$K$501,'Plan rashoda za unos u SAP'!$C$3:$C$501,"=81",'Plan rashoda za unos u SAP'!$N$3:$N$501,"=41")+SUMIFS('ANALITIKA EU PROJEKATA'!$I$3:$I$501,'ANALITIKA EU PROJEKATA'!$A$3:$A$501,"=81",'ANALITIKA EU PROJEKATA'!$Q$3:$Q$501,"=41")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255</v>
      </c>
      <c r="D102" s="133">
        <f t="shared" si="27"/>
        <v>516000</v>
      </c>
      <c r="E102" s="138">
        <f>SUMIFS('Plan rashoda za unos u SAP'!$K$3:$K$501,'Plan rashoda za unos u SAP'!$C$3:$C$501,"=11",'Plan rashoda za unos u SAP'!$N$3:$N$501,"=42")+SUMIFS('ANALITIKA EU PROJEKATA'!$I$3:$I$501,'ANALITIKA EU PROJEKATA'!$A$3:$A$501,"=11",'ANALITIKA EU PROJEKATA'!$Q$3:$Q$501,"=42")</f>
        <v>168000</v>
      </c>
      <c r="F102" s="138">
        <f>SUMIFS('Plan rashoda za unos u SAP'!$K$3:$K$501,'Plan rashoda za unos u SAP'!$C$3:$C$501,"=12",'Plan rashoda za unos u SAP'!$N$3:$N$501,"=42")+SUMIFS('ANALITIKA EU PROJEKATA'!$I$3:$I$501,'ANALITIKA EU PROJEKATA'!$A$3:$A$501,"=12",'ANALITIKA EU PROJEKATA'!$Q$3:$Q$501,"=42")</f>
        <v>0</v>
      </c>
      <c r="G102" s="138">
        <f>SUMIFS('Plan rashoda za unos u SAP'!$K$3:$K$501,'Plan rashoda za unos u SAP'!$C$3:$C$501,"=31",'Plan rashoda za unos u SAP'!$N$3:$N$501,"=42")+SUMIFS('ANALITIKA EU PROJEKATA'!$I$3:$I$501,'ANALITIKA EU PROJEKATA'!$A$3:$A$501,"=31",'ANALITIKA EU PROJEKATA'!$Q$3:$Q$501,"=42")</f>
        <v>231000</v>
      </c>
      <c r="H102" s="138">
        <f>SUMIFS('Plan rashoda za unos u SAP'!$K$3:$K$501,'Plan rashoda za unos u SAP'!$C$3:$C$501,"=41",'Plan rashoda za unos u SAP'!$N$3:$N$501,"=42")+SUMIFS('ANALITIKA EU PROJEKATA'!$I$3:$I$501,'ANALITIKA EU PROJEKATA'!$A$3:$A$501,"=41",'ANALITIKA EU PROJEKATA'!$Q$3:$Q$501,"=42")</f>
        <v>0</v>
      </c>
      <c r="I102" s="138">
        <f>SUMIFS('Plan rashoda za unos u SAP'!$K$3:$K$501,'Plan rashoda za unos u SAP'!$C$3:$C$501,"=43",'Plan rashoda za unos u SAP'!$N$3:$N$501,"=42")+SUMIFS('ANALITIKA EU PROJEKATA'!$I$3:$I$501,'ANALITIKA EU PROJEKATA'!$A$3:$A$501,"=43",'ANALITIKA EU PROJEKATA'!$Q$3:$Q$501,"=42")</f>
        <v>117000</v>
      </c>
      <c r="J102" s="138">
        <f>SUMIFS('Plan rashoda za unos u SAP'!$K$3:$K$501,'Plan rashoda za unos u SAP'!$C$3:$C$501,"=51",'Plan rashoda za unos u SAP'!$N$3:$N$501,"=42")+SUMIFS('ANALITIKA EU PROJEKATA'!$I$3:$I$501,'ANALITIKA EU PROJEKATA'!$A$3:$A$501,"=51",'ANALITIKA EU PROJEKATA'!$Q$3:$Q$501,"=42")</f>
        <v>0</v>
      </c>
      <c r="K102" s="138">
        <f>SUMIFS('Plan rashoda za unos u SAP'!$K$3:$K$501,'Plan rashoda za unos u SAP'!$C$3:$C$501,"=52",'Plan rashoda za unos u SAP'!$N$3:$N$501,"=42")+SUMIFS('ANALITIKA EU PROJEKATA'!$I$3:$I$501,'ANALITIKA EU PROJEKATA'!$A$3:$A$501,"=52",'ANALITIKA EU PROJEKATA'!$Q$3:$Q$501,"=42")</f>
        <v>0</v>
      </c>
      <c r="L102" s="138">
        <f>SUMIFS('Plan rashoda za unos u SAP'!$K$3:$K$501,'Plan rashoda za unos u SAP'!$C$3:$C$501,"=552",'Plan rashoda za unos u SAP'!$N$3:$N$501,"=42")+SUMIFS('ANALITIKA EU PROJEKATA'!$I$3:$I$501,'ANALITIKA EU PROJEKATA'!$A$3:$A$501,"=552",'ANALITIKA EU PROJEKATA'!$Q$3:$Q$501,"=42")</f>
        <v>0</v>
      </c>
      <c r="M102" s="138">
        <f>SUMIFS('Plan rashoda za unos u SAP'!$K$3:$K$501,'Plan rashoda za unos u SAP'!$C$3:$C$501,"=559",'Plan rashoda za unos u SAP'!$N$3:$N$501,"=42")+SUMIFS('ANALITIKA EU PROJEKATA'!$I$3:$I$501,'ANALITIKA EU PROJEKATA'!$A$3:$A$501,"=559",'ANALITIKA EU PROJEKATA'!$Q$3:$Q$501,"=42")</f>
        <v>0</v>
      </c>
      <c r="N102" s="138">
        <f>SUMIFS('Plan rashoda za unos u SAP'!$K$3:$K$501,'Plan rashoda za unos u SAP'!$C$3:$C$501,"=561",'Plan rashoda za unos u SAP'!$N$3:$N$501,"=42")+SUMIFS('ANALITIKA EU PROJEKATA'!$I$3:$I$501,'ANALITIKA EU PROJEKATA'!$A$3:$A$501,"=561",'ANALITIKA EU PROJEKATA'!$Q$3:$Q$501,"=42")</f>
        <v>0</v>
      </c>
      <c r="O102" s="138">
        <f>SUMIFS('Plan rashoda za unos u SAP'!$K$3:$K$501,'Plan rashoda za unos u SAP'!$C$3:$C$501,"=563",'Plan rashoda za unos u SAP'!$N$3:$N$501,"=42")+SUMIFS('ANALITIKA EU PROJEKATA'!$I$3:$I$501,'ANALITIKA EU PROJEKATA'!$A$3:$A$501,"=563",'ANALITIKA EU PROJEKATA'!$Q$3:$Q$501,"=42")</f>
        <v>0</v>
      </c>
      <c r="P102" s="138">
        <f>SUMIFS('Plan rashoda za unos u SAP'!$K$3:$K$501,'Plan rashoda za unos u SAP'!$C$3:$C$501,"=573",'Plan rashoda za unos u SAP'!$N$3:$N$501,"=42")+SUMIFS('ANALITIKA EU PROJEKATA'!$I$3:$I$501,'ANALITIKA EU PROJEKATA'!$A$3:$A$501,"=573",'ANALITIKA EU PROJEKATA'!$Q$3:$Q$501,"=42")</f>
        <v>0</v>
      </c>
      <c r="Q102" s="138">
        <f>SUMIFS('Plan rashoda za unos u SAP'!$K$3:$K$501,'Plan rashoda za unos u SAP'!$C$3:$C$501,"=575",'Plan rashoda za unos u SAP'!$N$3:$N$501,"=42")+SUMIFS('ANALITIKA EU PROJEKATA'!$I$3:$I$501,'ANALITIKA EU PROJEKATA'!$A$3:$A$501,"=575",'ANALITIKA EU PROJEKATA'!$Q$3:$Q$501,"=42")</f>
        <v>0</v>
      </c>
      <c r="R102" s="138">
        <f>SUMIFS('Plan rashoda za unos u SAP'!$K$3:$K$501,'Plan rashoda za unos u SAP'!$C$3:$C$501,"=576",'Plan rashoda za unos u SAP'!$N$3:$N$501,"=42")+SUMIFS('ANALITIKA EU PROJEKATA'!$I$3:$I$501,'ANALITIKA EU PROJEKATA'!$A$3:$A$501,"=576",'ANALITIKA EU PROJEKATA'!$Q$3:$Q$501,"=42")</f>
        <v>0</v>
      </c>
      <c r="S102" s="138">
        <f>SUMIFS('Plan rashoda za unos u SAP'!$K$3:$K$501,'Plan rashoda za unos u SAP'!$C$3:$C$501,"=581",'Plan rashoda za unos u SAP'!$N$3:$N$501,"=42")+SUMIFS('ANALITIKA EU PROJEKATA'!$I$3:$I$501,'ANALITIKA EU PROJEKATA'!$A$3:$A$501,"=581",'ANALITIKA EU PROJEKATA'!$Q$3:$Q$501,"=42")</f>
        <v>0</v>
      </c>
      <c r="T102" s="138">
        <f>SUMIFS('Plan rashoda za unos u SAP'!$K$3:$K$501,'Plan rashoda za unos u SAP'!$C$3:$C$501,"=61",'Plan rashoda za unos u SAP'!$N$3:$N$501,"=42")+SUMIFS('ANALITIKA EU PROJEKATA'!$I$3:$I$501,'ANALITIKA EU PROJEKATA'!$A$3:$A$501,"=61",'ANALITIKA EU PROJEKATA'!$Q$3:$Q$501,"=42")</f>
        <v>0</v>
      </c>
      <c r="U102" s="138">
        <f>SUMIFS('Plan rashoda za unos u SAP'!$K$3:$K$501,'Plan rashoda za unos u SAP'!$C$3:$C$501,"=63",'Plan rashoda za unos u SAP'!$N$3:$N$501,"=42")+SUMIFS('ANALITIKA EU PROJEKATA'!$I$3:$I$501,'ANALITIKA EU PROJEKATA'!$A$3:$A$501,"=63",'ANALITIKA EU PROJEKATA'!$Q$3:$Q$501,"=42")</f>
        <v>0</v>
      </c>
      <c r="V102" s="138">
        <f>SUMIFS('Plan rashoda za unos u SAP'!$K$3:$K$501,'Plan rashoda za unos u SAP'!$C$3:$C$501,"=71",'Plan rashoda za unos u SAP'!$N$3:$N$501,"=42")+SUMIFS('ANALITIKA EU PROJEKATA'!$I$3:$I$501,'ANALITIKA EU PROJEKATA'!$A$3:$A$501,"=71",'ANALITIKA EU PROJEKATA'!$Q$3:$Q$501,"=42")</f>
        <v>0</v>
      </c>
      <c r="W102" s="138">
        <f>SUMIFS('Plan rashoda za unos u SAP'!$K$3:$K$501,'Plan rashoda za unos u SAP'!$C$3:$C$501,"=81",'Plan rashoda za unos u SAP'!$N$3:$N$501,"=42")+SUMIFS('ANALITIKA EU PROJEKATA'!$I$3:$I$501,'ANALITIKA EU PROJEKATA'!$A$3:$A$501,"=81",'ANALITIKA EU PROJEKATA'!$Q$3:$Q$501,"=42")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337</v>
      </c>
      <c r="D103" s="133">
        <f t="shared" si="27"/>
        <v>0</v>
      </c>
      <c r="E103" s="138">
        <f>SUMIFS('Plan rashoda za unos u SAP'!$K$3:$K$501,'Plan rashoda za unos u SAP'!$C$3:$C$501,"=11",'Plan rashoda za unos u SAP'!$N$3:$N$501,"=43")+SUMIFS('ANALITIKA EU PROJEKATA'!$I$3:$I$501,'ANALITIKA EU PROJEKATA'!$A$3:$A$501,"=11",'ANALITIKA EU PROJEKATA'!$Q$3:$Q$501,"=43")</f>
        <v>0</v>
      </c>
      <c r="F103" s="138">
        <f>SUMIFS('Plan rashoda za unos u SAP'!$K$3:$K$501,'Plan rashoda za unos u SAP'!$C$3:$C$501,"=12",'Plan rashoda za unos u SAP'!$N$3:$N$501,"=43")+SUMIFS('ANALITIKA EU PROJEKATA'!$I$3:$I$501,'ANALITIKA EU PROJEKATA'!$A$3:$A$501,"=12",'ANALITIKA EU PROJEKATA'!$Q$3:$Q$501,"=43")</f>
        <v>0</v>
      </c>
      <c r="G103" s="138">
        <f>SUMIFS('Plan rashoda za unos u SAP'!$K$3:$K$501,'Plan rashoda za unos u SAP'!$C$3:$C$501,"=31",'Plan rashoda za unos u SAP'!$N$3:$N$501,"=43")+SUMIFS('ANALITIKA EU PROJEKATA'!$I$3:$I$501,'ANALITIKA EU PROJEKATA'!$A$3:$A$501,"=31",'ANALITIKA EU PROJEKATA'!$Q$3:$Q$501,"=43")</f>
        <v>0</v>
      </c>
      <c r="H103" s="138">
        <f>SUMIFS('Plan rashoda za unos u SAP'!$K$3:$K$501,'Plan rashoda za unos u SAP'!$C$3:$C$501,"=41",'Plan rashoda za unos u SAP'!$N$3:$N$501,"=43")+SUMIFS('ANALITIKA EU PROJEKATA'!$I$3:$I$501,'ANALITIKA EU PROJEKATA'!$A$3:$A$501,"=41",'ANALITIKA EU PROJEKATA'!$Q$3:$Q$501,"=43")</f>
        <v>0</v>
      </c>
      <c r="I103" s="138">
        <f>SUMIFS('Plan rashoda za unos u SAP'!$K$3:$K$501,'Plan rashoda za unos u SAP'!$C$3:$C$501,"=43",'Plan rashoda za unos u SAP'!$N$3:$N$501,"=43")+SUMIFS('ANALITIKA EU PROJEKATA'!$I$3:$I$501,'ANALITIKA EU PROJEKATA'!$A$3:$A$501,"=43",'ANALITIKA EU PROJEKATA'!$Q$3:$Q$501,"=43")</f>
        <v>0</v>
      </c>
      <c r="J103" s="138">
        <f>SUMIFS('Plan rashoda za unos u SAP'!$K$3:$K$501,'Plan rashoda za unos u SAP'!$C$3:$C$501,"=51",'Plan rashoda za unos u SAP'!$N$3:$N$501,"=43")+SUMIFS('ANALITIKA EU PROJEKATA'!$I$3:$I$501,'ANALITIKA EU PROJEKATA'!$A$3:$A$501,"=51",'ANALITIKA EU PROJEKATA'!$Q$3:$Q$501,"=43")</f>
        <v>0</v>
      </c>
      <c r="K103" s="138">
        <f>SUMIFS('Plan rashoda za unos u SAP'!$K$3:$K$501,'Plan rashoda za unos u SAP'!$C$3:$C$501,"=52",'Plan rashoda za unos u SAP'!$N$3:$N$501,"=43")+SUMIFS('ANALITIKA EU PROJEKATA'!$I$3:$I$501,'ANALITIKA EU PROJEKATA'!$A$3:$A$501,"=52",'ANALITIKA EU PROJEKATA'!$Q$3:$Q$501,"=43")</f>
        <v>0</v>
      </c>
      <c r="L103" s="138">
        <f>SUMIFS('Plan rashoda za unos u SAP'!$K$3:$K$501,'Plan rashoda za unos u SAP'!$C$3:$C$501,"=552",'Plan rashoda za unos u SAP'!$N$3:$N$501,"=43")+SUMIFS('ANALITIKA EU PROJEKATA'!$I$3:$I$501,'ANALITIKA EU PROJEKATA'!$A$3:$A$501,"=552",'ANALITIKA EU PROJEKATA'!$Q$3:$Q$501,"=43")</f>
        <v>0</v>
      </c>
      <c r="M103" s="138">
        <f>SUMIFS('Plan rashoda za unos u SAP'!$K$3:$K$501,'Plan rashoda za unos u SAP'!$C$3:$C$501,"=559",'Plan rashoda za unos u SAP'!$N$3:$N$501,"=43")+SUMIFS('ANALITIKA EU PROJEKATA'!$I$3:$I$501,'ANALITIKA EU PROJEKATA'!$A$3:$A$501,"=559",'ANALITIKA EU PROJEKATA'!$Q$3:$Q$501,"=43")</f>
        <v>0</v>
      </c>
      <c r="N103" s="138">
        <f>SUMIFS('Plan rashoda za unos u SAP'!$K$3:$K$501,'Plan rashoda za unos u SAP'!$C$3:$C$501,"=561",'Plan rashoda za unos u SAP'!$N$3:$N$501,"=43")+SUMIFS('ANALITIKA EU PROJEKATA'!$I$3:$I$501,'ANALITIKA EU PROJEKATA'!$A$3:$A$501,"=561",'ANALITIKA EU PROJEKATA'!$Q$3:$Q$501,"=43")</f>
        <v>0</v>
      </c>
      <c r="O103" s="138">
        <f>SUMIFS('Plan rashoda za unos u SAP'!$K$3:$K$501,'Plan rashoda za unos u SAP'!$C$3:$C$501,"=563",'Plan rashoda za unos u SAP'!$N$3:$N$501,"=43")+SUMIFS('ANALITIKA EU PROJEKATA'!$I$3:$I$501,'ANALITIKA EU PROJEKATA'!$A$3:$A$501,"=563",'ANALITIKA EU PROJEKATA'!$Q$3:$Q$501,"=43")</f>
        <v>0</v>
      </c>
      <c r="P103" s="138">
        <f>SUMIFS('Plan rashoda za unos u SAP'!$K$3:$K$501,'Plan rashoda za unos u SAP'!$C$3:$C$501,"=573",'Plan rashoda za unos u SAP'!$N$3:$N$501,"=43")+SUMIFS('ANALITIKA EU PROJEKATA'!$I$3:$I$501,'ANALITIKA EU PROJEKATA'!$A$3:$A$501,"=573",'ANALITIKA EU PROJEKATA'!$Q$3:$Q$501,"=43")</f>
        <v>0</v>
      </c>
      <c r="Q103" s="138">
        <f>SUMIFS('Plan rashoda za unos u SAP'!$K$3:$K$501,'Plan rashoda za unos u SAP'!$C$3:$C$501,"=575",'Plan rashoda za unos u SAP'!$N$3:$N$501,"=43")+SUMIFS('ANALITIKA EU PROJEKATA'!$I$3:$I$501,'ANALITIKA EU PROJEKATA'!$A$3:$A$501,"=575",'ANALITIKA EU PROJEKATA'!$Q$3:$Q$501,"=43")</f>
        <v>0</v>
      </c>
      <c r="R103" s="138">
        <f>SUMIFS('Plan rashoda za unos u SAP'!$K$3:$K$501,'Plan rashoda za unos u SAP'!$C$3:$C$501,"=576",'Plan rashoda za unos u SAP'!$N$3:$N$501,"=43")+SUMIFS('ANALITIKA EU PROJEKATA'!$I$3:$I$501,'ANALITIKA EU PROJEKATA'!$A$3:$A$501,"=576",'ANALITIKA EU PROJEKATA'!$Q$3:$Q$501,"=43")</f>
        <v>0</v>
      </c>
      <c r="S103" s="138">
        <f>SUMIFS('Plan rashoda za unos u SAP'!$K$3:$K$501,'Plan rashoda za unos u SAP'!$C$3:$C$501,"=581",'Plan rashoda za unos u SAP'!$N$3:$N$501,"=43")+SUMIFS('ANALITIKA EU PROJEKATA'!$I$3:$I$501,'ANALITIKA EU PROJEKATA'!$A$3:$A$501,"=581",'ANALITIKA EU PROJEKATA'!$Q$3:$Q$501,"=43")</f>
        <v>0</v>
      </c>
      <c r="T103" s="138">
        <f>SUMIFS('Plan rashoda za unos u SAP'!$K$3:$K$501,'Plan rashoda za unos u SAP'!$C$3:$C$501,"=61",'Plan rashoda za unos u SAP'!$N$3:$N$501,"=43")+SUMIFS('ANALITIKA EU PROJEKATA'!$I$3:$I$501,'ANALITIKA EU PROJEKATA'!$A$3:$A$501,"=61",'ANALITIKA EU PROJEKATA'!$Q$3:$Q$501,"=43")</f>
        <v>0</v>
      </c>
      <c r="U103" s="138">
        <f>SUMIFS('Plan rashoda za unos u SAP'!$K$3:$K$501,'Plan rashoda za unos u SAP'!$C$3:$C$501,"=63",'Plan rashoda za unos u SAP'!$N$3:$N$501,"=43")+SUMIFS('ANALITIKA EU PROJEKATA'!$I$3:$I$501,'ANALITIKA EU PROJEKATA'!$A$3:$A$501,"=63",'ANALITIKA EU PROJEKATA'!$Q$3:$Q$501,"=43")</f>
        <v>0</v>
      </c>
      <c r="V103" s="138">
        <f>SUMIFS('Plan rashoda za unos u SAP'!$K$3:$K$501,'Plan rashoda za unos u SAP'!$C$3:$C$501,"=71",'Plan rashoda za unos u SAP'!$N$3:$N$501,"=43")+SUMIFS('ANALITIKA EU PROJEKATA'!$I$3:$I$501,'ANALITIKA EU PROJEKATA'!$A$3:$A$501,"=71",'ANALITIKA EU PROJEKATA'!$Q$3:$Q$501,"=43")</f>
        <v>0</v>
      </c>
      <c r="W103" s="138">
        <f>SUMIFS('Plan rashoda za unos u SAP'!$K$3:$K$501,'Plan rashoda za unos u SAP'!$C$3:$C$501,"=81",'Plan rashoda za unos u SAP'!$N$3:$N$501,"=43")+SUMIFS('ANALITIKA EU PROJEKATA'!$I$3:$I$501,'ANALITIKA EU PROJEKATA'!$A$3:$A$501,"=81",'ANALITIKA EU PROJEKATA'!$Q$3:$Q$501,"=43")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338</v>
      </c>
      <c r="D104" s="133">
        <f t="shared" si="27"/>
        <v>0</v>
      </c>
      <c r="E104" s="138">
        <f>SUMIFS('Plan rashoda za unos u SAP'!$K$3:$K$501,'Plan rashoda za unos u SAP'!$C$3:$C$501,"=11",'Plan rashoda za unos u SAP'!$N$3:$N$501,"=44")+SUMIFS('ANALITIKA EU PROJEKATA'!$I$3:$I$501,'ANALITIKA EU PROJEKATA'!$A$3:$A$501,"=11",'ANALITIKA EU PROJEKATA'!$Q$3:$Q$501,"=44")</f>
        <v>0</v>
      </c>
      <c r="F104" s="138">
        <f>SUMIFS('Plan rashoda za unos u SAP'!$K$3:$K$501,'Plan rashoda za unos u SAP'!$C$3:$C$501,"=12",'Plan rashoda za unos u SAP'!$N$3:$N$501,"=44")+SUMIFS('ANALITIKA EU PROJEKATA'!$I$3:$I$501,'ANALITIKA EU PROJEKATA'!$A$3:$A$501,"=12",'ANALITIKA EU PROJEKATA'!$Q$3:$Q$501,"=44")</f>
        <v>0</v>
      </c>
      <c r="G104" s="138">
        <f>SUMIFS('Plan rashoda za unos u SAP'!$K$3:$K$501,'Plan rashoda za unos u SAP'!$C$3:$C$501,"=31",'Plan rashoda za unos u SAP'!$N$3:$N$501,"=44")+SUMIFS('ANALITIKA EU PROJEKATA'!$I$3:$I$501,'ANALITIKA EU PROJEKATA'!$A$3:$A$501,"=31",'ANALITIKA EU PROJEKATA'!$Q$3:$Q$501,"=44")</f>
        <v>0</v>
      </c>
      <c r="H104" s="138">
        <f>SUMIFS('Plan rashoda za unos u SAP'!$K$3:$K$501,'Plan rashoda za unos u SAP'!$C$3:$C$501,"=41",'Plan rashoda za unos u SAP'!$N$3:$N$501,"=44")+SUMIFS('ANALITIKA EU PROJEKATA'!$I$3:$I$501,'ANALITIKA EU PROJEKATA'!$A$3:$A$501,"=41",'ANALITIKA EU PROJEKATA'!$Q$3:$Q$501,"=44")</f>
        <v>0</v>
      </c>
      <c r="I104" s="138">
        <f>SUMIFS('Plan rashoda za unos u SAP'!$K$3:$K$501,'Plan rashoda za unos u SAP'!$C$3:$C$501,"=43",'Plan rashoda za unos u SAP'!$N$3:$N$501,"=44")+SUMIFS('ANALITIKA EU PROJEKATA'!$I$3:$I$501,'ANALITIKA EU PROJEKATA'!$A$3:$A$501,"=43",'ANALITIKA EU PROJEKATA'!$Q$3:$Q$501,"=44")</f>
        <v>0</v>
      </c>
      <c r="J104" s="138">
        <f>SUMIFS('Plan rashoda za unos u SAP'!$K$3:$K$501,'Plan rashoda za unos u SAP'!$C$3:$C$501,"=51",'Plan rashoda za unos u SAP'!$N$3:$N$501,"=44")+SUMIFS('ANALITIKA EU PROJEKATA'!$I$3:$I$501,'ANALITIKA EU PROJEKATA'!$A$3:$A$501,"=51",'ANALITIKA EU PROJEKATA'!$Q$3:$Q$501,"=44")</f>
        <v>0</v>
      </c>
      <c r="K104" s="138">
        <f>SUMIFS('Plan rashoda za unos u SAP'!$K$3:$K$501,'Plan rashoda za unos u SAP'!$C$3:$C$501,"=52",'Plan rashoda za unos u SAP'!$N$3:$N$501,"=44")+SUMIFS('ANALITIKA EU PROJEKATA'!$I$3:$I$501,'ANALITIKA EU PROJEKATA'!$A$3:$A$501,"=52",'ANALITIKA EU PROJEKATA'!$Q$3:$Q$501,"=44")</f>
        <v>0</v>
      </c>
      <c r="L104" s="138">
        <f>SUMIFS('Plan rashoda za unos u SAP'!$K$3:$K$501,'Plan rashoda za unos u SAP'!$C$3:$C$501,"=552",'Plan rashoda za unos u SAP'!$N$3:$N$501,"=44")+SUMIFS('ANALITIKA EU PROJEKATA'!$I$3:$I$501,'ANALITIKA EU PROJEKATA'!$A$3:$A$501,"=552",'ANALITIKA EU PROJEKATA'!$Q$3:$Q$501,"=44")</f>
        <v>0</v>
      </c>
      <c r="M104" s="138">
        <f>SUMIFS('Plan rashoda za unos u SAP'!$K$3:$K$501,'Plan rashoda za unos u SAP'!$C$3:$C$501,"=559",'Plan rashoda za unos u SAP'!$N$3:$N$501,"=44")+SUMIFS('ANALITIKA EU PROJEKATA'!$I$3:$I$501,'ANALITIKA EU PROJEKATA'!$A$3:$A$501,"=559",'ANALITIKA EU PROJEKATA'!$Q$3:$Q$501,"=44")</f>
        <v>0</v>
      </c>
      <c r="N104" s="138">
        <f>SUMIFS('Plan rashoda za unos u SAP'!$K$3:$K$501,'Plan rashoda za unos u SAP'!$C$3:$C$501,"=561",'Plan rashoda za unos u SAP'!$N$3:$N$501,"=44")+SUMIFS('ANALITIKA EU PROJEKATA'!$I$3:$I$501,'ANALITIKA EU PROJEKATA'!$A$3:$A$501,"=561",'ANALITIKA EU PROJEKATA'!$Q$3:$Q$501,"=44")</f>
        <v>0</v>
      </c>
      <c r="O104" s="138">
        <f>SUMIFS('Plan rashoda za unos u SAP'!$K$3:$K$501,'Plan rashoda za unos u SAP'!$C$3:$C$501,"=563",'Plan rashoda za unos u SAP'!$N$3:$N$501,"=44")+SUMIFS('ANALITIKA EU PROJEKATA'!$I$3:$I$501,'ANALITIKA EU PROJEKATA'!$A$3:$A$501,"=563",'ANALITIKA EU PROJEKATA'!$Q$3:$Q$501,"=44")</f>
        <v>0</v>
      </c>
      <c r="P104" s="138">
        <f>SUMIFS('Plan rashoda za unos u SAP'!$K$3:$K$501,'Plan rashoda za unos u SAP'!$C$3:$C$501,"=573",'Plan rashoda za unos u SAP'!$N$3:$N$501,"=44")+SUMIFS('ANALITIKA EU PROJEKATA'!$I$3:$I$501,'ANALITIKA EU PROJEKATA'!$A$3:$A$501,"=573",'ANALITIKA EU PROJEKATA'!$Q$3:$Q$501,"=44")</f>
        <v>0</v>
      </c>
      <c r="Q104" s="138">
        <f>SUMIFS('Plan rashoda za unos u SAP'!$K$3:$K$501,'Plan rashoda za unos u SAP'!$C$3:$C$501,"=575",'Plan rashoda za unos u SAP'!$N$3:$N$501,"=44")+SUMIFS('ANALITIKA EU PROJEKATA'!$I$3:$I$501,'ANALITIKA EU PROJEKATA'!$A$3:$A$501,"=575",'ANALITIKA EU PROJEKATA'!$Q$3:$Q$501,"=44")</f>
        <v>0</v>
      </c>
      <c r="R104" s="138">
        <f>SUMIFS('Plan rashoda za unos u SAP'!$K$3:$K$501,'Plan rashoda za unos u SAP'!$C$3:$C$501,"=576",'Plan rashoda za unos u SAP'!$N$3:$N$501,"=44")+SUMIFS('ANALITIKA EU PROJEKATA'!$I$3:$I$501,'ANALITIKA EU PROJEKATA'!$A$3:$A$501,"=576",'ANALITIKA EU PROJEKATA'!$Q$3:$Q$501,"=44")</f>
        <v>0</v>
      </c>
      <c r="S104" s="138">
        <f>SUMIFS('Plan rashoda za unos u SAP'!$K$3:$K$501,'Plan rashoda za unos u SAP'!$C$3:$C$501,"=581",'Plan rashoda za unos u SAP'!$N$3:$N$501,"=44")+SUMIFS('ANALITIKA EU PROJEKATA'!$I$3:$I$501,'ANALITIKA EU PROJEKATA'!$A$3:$A$501,"=581",'ANALITIKA EU PROJEKATA'!$Q$3:$Q$501,"=44")</f>
        <v>0</v>
      </c>
      <c r="T104" s="138">
        <f>SUMIFS('Plan rashoda za unos u SAP'!$K$3:$K$501,'Plan rashoda za unos u SAP'!$C$3:$C$501,"=61",'Plan rashoda za unos u SAP'!$N$3:$N$501,"=44")+SUMIFS('ANALITIKA EU PROJEKATA'!$I$3:$I$501,'ANALITIKA EU PROJEKATA'!$A$3:$A$501,"=61",'ANALITIKA EU PROJEKATA'!$Q$3:$Q$501,"=44")</f>
        <v>0</v>
      </c>
      <c r="U104" s="138">
        <f>SUMIFS('Plan rashoda za unos u SAP'!$K$3:$K$501,'Plan rashoda za unos u SAP'!$C$3:$C$501,"=63",'Plan rashoda za unos u SAP'!$N$3:$N$501,"=44")+SUMIFS('ANALITIKA EU PROJEKATA'!$I$3:$I$501,'ANALITIKA EU PROJEKATA'!$A$3:$A$501,"=63",'ANALITIKA EU PROJEKATA'!$Q$3:$Q$501,"=44")</f>
        <v>0</v>
      </c>
      <c r="V104" s="138">
        <f>SUMIFS('Plan rashoda za unos u SAP'!$K$3:$K$501,'Plan rashoda za unos u SAP'!$C$3:$C$501,"=71",'Plan rashoda za unos u SAP'!$N$3:$N$501,"=44")+SUMIFS('ANALITIKA EU PROJEKATA'!$I$3:$I$501,'ANALITIKA EU PROJEKATA'!$A$3:$A$501,"=71",'ANALITIKA EU PROJEKATA'!$Q$3:$Q$501,"=44")</f>
        <v>0</v>
      </c>
      <c r="W104" s="138">
        <f>SUMIFS('Plan rashoda za unos u SAP'!$K$3:$K$501,'Plan rashoda za unos u SAP'!$C$3:$C$501,"=81",'Plan rashoda za unos u SAP'!$N$3:$N$501,"=44")+SUMIFS('ANALITIKA EU PROJEKATA'!$I$3:$I$501,'ANALITIKA EU PROJEKATA'!$A$3:$A$501,"=81",'ANALITIKA EU PROJEKATA'!$Q$3:$Q$501,"=44")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219</v>
      </c>
      <c r="D105" s="133">
        <f t="shared" si="27"/>
        <v>2500000</v>
      </c>
      <c r="E105" s="138">
        <f>SUMIFS('Plan rashoda za unos u SAP'!$K$3:$K$501,'Plan rashoda za unos u SAP'!$C$3:$C$501,"=11",'Plan rashoda za unos u SAP'!$N$3:$N$501,"=45")+SUMIFS('ANALITIKA EU PROJEKATA'!$I$3:$I$501,'ANALITIKA EU PROJEKATA'!$A$3:$A$501,"=11",'ANALITIKA EU PROJEKATA'!$Q$3:$Q$501,"=45")</f>
        <v>0</v>
      </c>
      <c r="F105" s="138">
        <f>SUMIFS('Plan rashoda za unos u SAP'!$K$3:$K$501,'Plan rashoda za unos u SAP'!$C$3:$C$501,"=12",'Plan rashoda za unos u SAP'!$N$3:$N$501,"=45")+SUMIFS('ANALITIKA EU PROJEKATA'!$I$3:$I$501,'ANALITIKA EU PROJEKATA'!$A$3:$A$501,"=12",'ANALITIKA EU PROJEKATA'!$Q$3:$Q$501,"=45")</f>
        <v>0</v>
      </c>
      <c r="G105" s="138">
        <f>SUMIFS('Plan rashoda za unos u SAP'!$K$3:$K$501,'Plan rashoda za unos u SAP'!$C$3:$C$501,"=31",'Plan rashoda za unos u SAP'!$N$3:$N$501,"=45")+SUMIFS('ANALITIKA EU PROJEKATA'!$I$3:$I$501,'ANALITIKA EU PROJEKATA'!$A$3:$A$501,"=31",'ANALITIKA EU PROJEKATA'!$Q$3:$Q$501,"=45")</f>
        <v>0</v>
      </c>
      <c r="H105" s="138">
        <f>SUMIFS('Plan rashoda za unos u SAP'!$K$3:$K$501,'Plan rashoda za unos u SAP'!$C$3:$C$501,"=41",'Plan rashoda za unos u SAP'!$N$3:$N$501,"=45")+SUMIFS('ANALITIKA EU PROJEKATA'!$I$3:$I$501,'ANALITIKA EU PROJEKATA'!$A$3:$A$501,"=41",'ANALITIKA EU PROJEKATA'!$Q$3:$Q$501,"=45")</f>
        <v>0</v>
      </c>
      <c r="I105" s="138">
        <f>SUMIFS('Plan rashoda za unos u SAP'!$K$3:$K$501,'Plan rashoda za unos u SAP'!$C$3:$C$501,"=43",'Plan rashoda za unos u SAP'!$N$3:$N$501,"=45")+SUMIFS('ANALITIKA EU PROJEKATA'!$I$3:$I$501,'ANALITIKA EU PROJEKATA'!$A$3:$A$501,"=43",'ANALITIKA EU PROJEKATA'!$Q$3:$Q$501,"=45")</f>
        <v>2354500</v>
      </c>
      <c r="J105" s="138">
        <f>SUMIFS('Plan rashoda za unos u SAP'!$K$3:$K$501,'Plan rashoda za unos u SAP'!$C$3:$C$501,"=51",'Plan rashoda za unos u SAP'!$N$3:$N$501,"=45")+SUMIFS('ANALITIKA EU PROJEKATA'!$I$3:$I$501,'ANALITIKA EU PROJEKATA'!$A$3:$A$501,"=51",'ANALITIKA EU PROJEKATA'!$Q$3:$Q$501,"=45")</f>
        <v>0</v>
      </c>
      <c r="K105" s="138">
        <f>SUMIFS('Plan rashoda za unos u SAP'!$K$3:$K$501,'Plan rashoda za unos u SAP'!$C$3:$C$501,"=52",'Plan rashoda za unos u SAP'!$N$3:$N$501,"=45")+SUMIFS('ANALITIKA EU PROJEKATA'!$I$3:$I$501,'ANALITIKA EU PROJEKATA'!$A$3:$A$501,"=52",'ANALITIKA EU PROJEKATA'!$Q$3:$Q$501,"=45")</f>
        <v>145500</v>
      </c>
      <c r="L105" s="138">
        <f>SUMIFS('Plan rashoda za unos u SAP'!$K$3:$K$501,'Plan rashoda za unos u SAP'!$C$3:$C$501,"=552",'Plan rashoda za unos u SAP'!$N$3:$N$501,"=45")+SUMIFS('ANALITIKA EU PROJEKATA'!$I$3:$I$501,'ANALITIKA EU PROJEKATA'!$A$3:$A$501,"=552",'ANALITIKA EU PROJEKATA'!$Q$3:$Q$501,"=45")</f>
        <v>0</v>
      </c>
      <c r="M105" s="138">
        <f>SUMIFS('Plan rashoda za unos u SAP'!$K$3:$K$501,'Plan rashoda za unos u SAP'!$C$3:$C$501,"=559",'Plan rashoda za unos u SAP'!$N$3:$N$501,"=45")+SUMIFS('ANALITIKA EU PROJEKATA'!$I$3:$I$501,'ANALITIKA EU PROJEKATA'!$A$3:$A$501,"=559",'ANALITIKA EU PROJEKATA'!$Q$3:$Q$501,"=45")</f>
        <v>0</v>
      </c>
      <c r="N105" s="138">
        <f>SUMIFS('Plan rashoda za unos u SAP'!$K$3:$K$501,'Plan rashoda za unos u SAP'!$C$3:$C$501,"=561",'Plan rashoda za unos u SAP'!$N$3:$N$501,"=45")+SUMIFS('ANALITIKA EU PROJEKATA'!$I$3:$I$501,'ANALITIKA EU PROJEKATA'!$A$3:$A$501,"=561",'ANALITIKA EU PROJEKATA'!$Q$3:$Q$501,"=45")</f>
        <v>0</v>
      </c>
      <c r="O105" s="138">
        <f>SUMIFS('Plan rashoda za unos u SAP'!$K$3:$K$501,'Plan rashoda za unos u SAP'!$C$3:$C$501,"=563",'Plan rashoda za unos u SAP'!$N$3:$N$501,"=45")+SUMIFS('ANALITIKA EU PROJEKATA'!$I$3:$I$501,'ANALITIKA EU PROJEKATA'!$A$3:$A$501,"=563",'ANALITIKA EU PROJEKATA'!$Q$3:$Q$501,"=45")</f>
        <v>0</v>
      </c>
      <c r="P105" s="138">
        <f>SUMIFS('Plan rashoda za unos u SAP'!$K$3:$K$501,'Plan rashoda za unos u SAP'!$C$3:$C$501,"=573",'Plan rashoda za unos u SAP'!$N$3:$N$501,"=45")+SUMIFS('ANALITIKA EU PROJEKATA'!$I$3:$I$501,'ANALITIKA EU PROJEKATA'!$A$3:$A$501,"=573",'ANALITIKA EU PROJEKATA'!$Q$3:$Q$501,"=45")</f>
        <v>0</v>
      </c>
      <c r="Q105" s="138">
        <f>SUMIFS('Plan rashoda za unos u SAP'!$K$3:$K$501,'Plan rashoda za unos u SAP'!$C$3:$C$501,"=575",'Plan rashoda za unos u SAP'!$N$3:$N$501,"=45")+SUMIFS('ANALITIKA EU PROJEKATA'!$I$3:$I$501,'ANALITIKA EU PROJEKATA'!$A$3:$A$501,"=575",'ANALITIKA EU PROJEKATA'!$Q$3:$Q$501,"=45")</f>
        <v>0</v>
      </c>
      <c r="R105" s="138">
        <f>SUMIFS('Plan rashoda za unos u SAP'!$K$3:$K$501,'Plan rashoda za unos u SAP'!$C$3:$C$501,"=576",'Plan rashoda za unos u SAP'!$N$3:$N$501,"=45")+SUMIFS('ANALITIKA EU PROJEKATA'!$I$3:$I$501,'ANALITIKA EU PROJEKATA'!$A$3:$A$501,"=576",'ANALITIKA EU PROJEKATA'!$Q$3:$Q$501,"=45")</f>
        <v>0</v>
      </c>
      <c r="S105" s="138">
        <f>SUMIFS('Plan rashoda za unos u SAP'!$K$3:$K$501,'Plan rashoda za unos u SAP'!$C$3:$C$501,"=581",'Plan rashoda za unos u SAP'!$N$3:$N$501,"=45")+SUMIFS('ANALITIKA EU PROJEKATA'!$I$3:$I$501,'ANALITIKA EU PROJEKATA'!$A$3:$A$501,"=581",'ANALITIKA EU PROJEKATA'!$Q$3:$Q$501,"=45")</f>
        <v>0</v>
      </c>
      <c r="T105" s="138">
        <f>SUMIFS('Plan rashoda za unos u SAP'!$K$3:$K$501,'Plan rashoda za unos u SAP'!$C$3:$C$501,"=61",'Plan rashoda za unos u SAP'!$N$3:$N$501,"=45")+SUMIFS('ANALITIKA EU PROJEKATA'!$I$3:$I$501,'ANALITIKA EU PROJEKATA'!$A$3:$A$501,"=61",'ANALITIKA EU PROJEKATA'!$Q$3:$Q$501,"=45")</f>
        <v>0</v>
      </c>
      <c r="U105" s="138">
        <f>SUMIFS('Plan rashoda za unos u SAP'!$K$3:$K$501,'Plan rashoda za unos u SAP'!$C$3:$C$501,"=63",'Plan rashoda za unos u SAP'!$N$3:$N$501,"=45")+SUMIFS('ANALITIKA EU PROJEKATA'!$I$3:$I$501,'ANALITIKA EU PROJEKATA'!$A$3:$A$501,"=63",'ANALITIKA EU PROJEKATA'!$Q$3:$Q$501,"=45")</f>
        <v>0</v>
      </c>
      <c r="V105" s="138">
        <f>SUMIFS('Plan rashoda za unos u SAP'!$K$3:$K$501,'Plan rashoda za unos u SAP'!$C$3:$C$501,"=71",'Plan rashoda za unos u SAP'!$N$3:$N$501,"=45")+SUMIFS('ANALITIKA EU PROJEKATA'!$I$3:$I$501,'ANALITIKA EU PROJEKATA'!$A$3:$A$501,"=71",'ANALITIKA EU PROJEKATA'!$Q$3:$Q$501,"=45")</f>
        <v>0</v>
      </c>
      <c r="W105" s="138">
        <f>SUMIFS('Plan rashoda za unos u SAP'!$K$3:$K$501,'Plan rashoda za unos u SAP'!$C$3:$C$501,"=81",'Plan rashoda za unos u SAP'!$N$3:$N$501,"=45")+SUMIFS('ANALITIKA EU PROJEKATA'!$I$3:$I$501,'ANALITIKA EU PROJEKATA'!$A$3:$A$501,"=81",'ANALITIKA EU PROJEKATA'!$Q$3:$Q$501,"=45")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7"/>
        <v>0</v>
      </c>
      <c r="E106" s="125">
        <f t="shared" ref="E106:G106" si="37">SUM(E107:E108)</f>
        <v>0</v>
      </c>
      <c r="F106" s="125">
        <f t="shared" si="37"/>
        <v>0</v>
      </c>
      <c r="G106" s="125">
        <f t="shared" si="37"/>
        <v>0</v>
      </c>
      <c r="H106" s="125">
        <f>SUM(H107:H108)</f>
        <v>0</v>
      </c>
      <c r="I106" s="125">
        <f t="shared" ref="I106:K106" si="38">SUM(I107:I108)</f>
        <v>0</v>
      </c>
      <c r="J106" s="125">
        <f t="shared" si="38"/>
        <v>0</v>
      </c>
      <c r="K106" s="125">
        <f t="shared" si="38"/>
        <v>0</v>
      </c>
      <c r="L106" s="125">
        <f>SUM(L107:L108)</f>
        <v>0</v>
      </c>
      <c r="M106" s="125">
        <f t="shared" ref="M106:O106" si="39">SUM(M107:M108)</f>
        <v>0</v>
      </c>
      <c r="N106" s="125">
        <f t="shared" si="39"/>
        <v>0</v>
      </c>
      <c r="O106" s="125">
        <f t="shared" si="39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>SUM(S107:S108)</f>
        <v>0</v>
      </c>
      <c r="T106" s="125">
        <f t="shared" ref="T106:W106" si="40">SUM(T107:T108)</f>
        <v>0</v>
      </c>
      <c r="U106" s="125">
        <f t="shared" si="40"/>
        <v>0</v>
      </c>
      <c r="V106" s="125">
        <f t="shared" si="40"/>
        <v>0</v>
      </c>
      <c r="W106" s="125">
        <f t="shared" si="40"/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347</v>
      </c>
      <c r="D107" s="78">
        <f t="shared" si="27"/>
        <v>0</v>
      </c>
      <c r="E107" s="138">
        <f>SUMIFS('Plan rashoda za unos u SAP'!$K$3:$K$501,'Plan rashoda za unos u SAP'!$C$3:$C$501,"=11",'Plan rashoda za unos u SAP'!$N$3:$N$501,"=51")+SUMIFS('ANALITIKA EU PROJEKATA'!$I$3:$I$501,'ANALITIKA EU PROJEKATA'!$A$3:$A$501,"=11",'ANALITIKA EU PROJEKATA'!$Q$3:$Q$501,"=51")</f>
        <v>0</v>
      </c>
      <c r="F107" s="138">
        <f>SUMIFS('Plan rashoda za unos u SAP'!$K$3:$K$501,'Plan rashoda za unos u SAP'!$C$3:$C$501,"=12",'Plan rashoda za unos u SAP'!$N$3:$N$501,"=51")+SUMIFS('ANALITIKA EU PROJEKATA'!$I$3:$I$501,'ANALITIKA EU PROJEKATA'!$A$3:$A$501,"=12",'ANALITIKA EU PROJEKATA'!$Q$3:$Q$501,"=51")</f>
        <v>0</v>
      </c>
      <c r="G107" s="138">
        <f>SUMIFS('Plan rashoda za unos u SAP'!$K$3:$K$501,'Plan rashoda za unos u SAP'!$C$3:$C$501,"=31",'Plan rashoda za unos u SAP'!$N$3:$N$501,"=51")+SUMIFS('ANALITIKA EU PROJEKATA'!$I$3:$I$501,'ANALITIKA EU PROJEKATA'!$A$3:$A$501,"=31",'ANALITIKA EU PROJEKATA'!$Q$3:$Q$501,"=51")</f>
        <v>0</v>
      </c>
      <c r="H107" s="138">
        <f>SUMIFS('Plan rashoda za unos u SAP'!$K$3:$K$501,'Plan rashoda za unos u SAP'!$C$3:$C$501,"=41",'Plan rashoda za unos u SAP'!$N$3:$N$501,"=51")+SUMIFS('ANALITIKA EU PROJEKATA'!$I$3:$I$501,'ANALITIKA EU PROJEKATA'!$A$3:$A$501,"=41",'ANALITIKA EU PROJEKATA'!$Q$3:$Q$501,"=51")</f>
        <v>0</v>
      </c>
      <c r="I107" s="138">
        <f>SUMIFS('Plan rashoda za unos u SAP'!$K$3:$K$501,'Plan rashoda za unos u SAP'!$C$3:$C$501,"=43",'Plan rashoda za unos u SAP'!$N$3:$N$501,"=51")+SUMIFS('ANALITIKA EU PROJEKATA'!$I$3:$I$501,'ANALITIKA EU PROJEKATA'!$A$3:$A$501,"=43",'ANALITIKA EU PROJEKATA'!$Q$3:$Q$501,"=51")</f>
        <v>0</v>
      </c>
      <c r="J107" s="138">
        <f>SUMIFS('Plan rashoda za unos u SAP'!$K$3:$K$501,'Plan rashoda za unos u SAP'!$C$3:$C$501,"=51",'Plan rashoda za unos u SAP'!$N$3:$N$501,"=51")+SUMIFS('ANALITIKA EU PROJEKATA'!$I$3:$I$501,'ANALITIKA EU PROJEKATA'!$A$3:$A$501,"=51",'ANALITIKA EU PROJEKATA'!$Q$3:$Q$501,"=51")</f>
        <v>0</v>
      </c>
      <c r="K107" s="138">
        <f>SUMIFS('Plan rashoda za unos u SAP'!$K$3:$K$501,'Plan rashoda za unos u SAP'!$C$3:$C$501,"=52",'Plan rashoda za unos u SAP'!$N$3:$N$501,"=51")+SUMIFS('ANALITIKA EU PROJEKATA'!$I$3:$I$501,'ANALITIKA EU PROJEKATA'!$A$3:$A$501,"=52",'ANALITIKA EU PROJEKATA'!$Q$3:$Q$501,"=51")</f>
        <v>0</v>
      </c>
      <c r="L107" s="138">
        <f>SUMIFS('Plan rashoda za unos u SAP'!$K$3:$K$501,'Plan rashoda za unos u SAP'!$C$3:$C$501,"=552",'Plan rashoda za unos u SAP'!$N$3:$N$501,"=51")+SUMIFS('ANALITIKA EU PROJEKATA'!$I$3:$I$501,'ANALITIKA EU PROJEKATA'!$A$3:$A$501,"=552",'ANALITIKA EU PROJEKATA'!$Q$3:$Q$501,"=51")</f>
        <v>0</v>
      </c>
      <c r="M107" s="138">
        <f>SUMIFS('Plan rashoda za unos u SAP'!$K$3:$K$501,'Plan rashoda za unos u SAP'!$C$3:$C$501,"=559",'Plan rashoda za unos u SAP'!$N$3:$N$501,"=51")+SUMIFS('ANALITIKA EU PROJEKATA'!$I$3:$I$501,'ANALITIKA EU PROJEKATA'!$A$3:$A$501,"=559",'ANALITIKA EU PROJEKATA'!$Q$3:$Q$501,"=51")</f>
        <v>0</v>
      </c>
      <c r="N107" s="138">
        <f>SUMIFS('Plan rashoda za unos u SAP'!$K$3:$K$501,'Plan rashoda za unos u SAP'!$C$3:$C$501,"=561",'Plan rashoda za unos u SAP'!$N$3:$N$501,"=51")+SUMIFS('ANALITIKA EU PROJEKATA'!$I$3:$I$501,'ANALITIKA EU PROJEKATA'!$A$3:$A$501,"=561",'ANALITIKA EU PROJEKATA'!$Q$3:$Q$501,"=51")</f>
        <v>0</v>
      </c>
      <c r="O107" s="138">
        <f>SUMIFS('Plan rashoda za unos u SAP'!$K$3:$K$501,'Plan rashoda za unos u SAP'!$C$3:$C$501,"=563",'Plan rashoda za unos u SAP'!$N$3:$N$501,"=51")+SUMIFS('ANALITIKA EU PROJEKATA'!$I$3:$I$501,'ANALITIKA EU PROJEKATA'!$A$3:$A$501,"=563",'ANALITIKA EU PROJEKATA'!$Q$3:$Q$501,"=51")</f>
        <v>0</v>
      </c>
      <c r="P107" s="138">
        <f>SUMIFS('Plan rashoda za unos u SAP'!$K$3:$K$501,'Plan rashoda za unos u SAP'!$C$3:$C$501,"=573",'Plan rashoda za unos u SAP'!$N$3:$N$501,"=51")+SUMIFS('ANALITIKA EU PROJEKATA'!$I$3:$I$501,'ANALITIKA EU PROJEKATA'!$A$3:$A$501,"=573",'ANALITIKA EU PROJEKATA'!$Q$3:$Q$501,"=51")</f>
        <v>0</v>
      </c>
      <c r="Q107" s="138">
        <f>SUMIFS('Plan rashoda za unos u SAP'!$K$3:$K$501,'Plan rashoda za unos u SAP'!$C$3:$C$501,"=575",'Plan rashoda za unos u SAP'!$N$3:$N$501,"=51")+SUMIFS('ANALITIKA EU PROJEKATA'!$I$3:$I$501,'ANALITIKA EU PROJEKATA'!$A$3:$A$501,"=575",'ANALITIKA EU PROJEKATA'!$Q$3:$Q$501,"=51")</f>
        <v>0</v>
      </c>
      <c r="R107" s="138">
        <f>SUMIFS('Plan rashoda za unos u SAP'!$K$3:$K$501,'Plan rashoda za unos u SAP'!$C$3:$C$501,"=576",'Plan rashoda za unos u SAP'!$N$3:$N$501,"=51")+SUMIFS('ANALITIKA EU PROJEKATA'!$I$3:$I$501,'ANALITIKA EU PROJEKATA'!$A$3:$A$501,"=576",'ANALITIKA EU PROJEKATA'!$Q$3:$Q$501,"=51")</f>
        <v>0</v>
      </c>
      <c r="S107" s="138">
        <f>SUMIFS('Plan rashoda za unos u SAP'!$K$3:$K$501,'Plan rashoda za unos u SAP'!$C$3:$C$501,"=581",'Plan rashoda za unos u SAP'!$N$3:$N$501,"=51")+SUMIFS('ANALITIKA EU PROJEKATA'!$I$3:$I$501,'ANALITIKA EU PROJEKATA'!$A$3:$A$501,"=581",'ANALITIKA EU PROJEKATA'!$Q$3:$Q$501,"=51")</f>
        <v>0</v>
      </c>
      <c r="T107" s="138">
        <f>SUMIFS('Plan rashoda za unos u SAP'!$K$3:$K$501,'Plan rashoda za unos u SAP'!$C$3:$C$501,"=61",'Plan rashoda za unos u SAP'!$N$3:$N$501,"=51")+SUMIFS('ANALITIKA EU PROJEKATA'!$I$3:$I$501,'ANALITIKA EU PROJEKATA'!$A$3:$A$501,"=61",'ANALITIKA EU PROJEKATA'!$Q$3:$Q$501,"=51")</f>
        <v>0</v>
      </c>
      <c r="U107" s="138">
        <f>SUMIFS('Plan rashoda za unos u SAP'!$K$3:$K$501,'Plan rashoda za unos u SAP'!$C$3:$C$501,"=63",'Plan rashoda za unos u SAP'!$N$3:$N$501,"=51")+SUMIFS('ANALITIKA EU PROJEKATA'!$I$3:$I$501,'ANALITIKA EU PROJEKATA'!$A$3:$A$501,"=63",'ANALITIKA EU PROJEKATA'!$Q$3:$Q$501,"=51")</f>
        <v>0</v>
      </c>
      <c r="V107" s="138">
        <f>SUMIFS('Plan rashoda za unos u SAP'!$K$3:$K$501,'Plan rashoda za unos u SAP'!$C$3:$C$501,"=71",'Plan rashoda za unos u SAP'!$N$3:$N$501,"=51")+SUMIFS('ANALITIKA EU PROJEKATA'!$I$3:$I$501,'ANALITIKA EU PROJEKATA'!$A$3:$A$501,"=71",'ANALITIKA EU PROJEKATA'!$Q$3:$Q$501,"=51")</f>
        <v>0</v>
      </c>
      <c r="W107" s="138">
        <f>SUMIFS('Plan rashoda za unos u SAP'!$K$3:$K$501,'Plan rashoda za unos u SAP'!$C$3:$C$501,"=81",'Plan rashoda za unos u SAP'!$N$3:$N$501,"=51")+SUMIFS('ANALITIKA EU PROJEKATA'!$I$3:$I$501,'ANALITIKA EU PROJEKATA'!$A$3:$A$501,"=81",'ANALITIKA EU PROJEKATA'!$Q$3:$Q$501,"=51")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348</v>
      </c>
      <c r="D108" s="78">
        <f t="shared" si="27"/>
        <v>0</v>
      </c>
      <c r="E108" s="138">
        <f>SUMIFS('Plan rashoda za unos u SAP'!$K$3:$K$501,'Plan rashoda za unos u SAP'!$C$3:$C$501,"=11",'Plan rashoda za unos u SAP'!$N$3:$N$501,"=54")+SUMIFS('ANALITIKA EU PROJEKATA'!$I$3:$I$501,'ANALITIKA EU PROJEKATA'!$A$3:$A$501,"=11",'ANALITIKA EU PROJEKATA'!$Q$3:$Q$501,"=54")</f>
        <v>0</v>
      </c>
      <c r="F108" s="138">
        <f>SUMIFS('Plan rashoda za unos u SAP'!$K$3:$K$501,'Plan rashoda za unos u SAP'!$C$3:$C$501,"=12",'Plan rashoda za unos u SAP'!$N$3:$N$501,"=54")+SUMIFS('ANALITIKA EU PROJEKATA'!$I$3:$I$501,'ANALITIKA EU PROJEKATA'!$A$3:$A$501,"=12",'ANALITIKA EU PROJEKATA'!$Q$3:$Q$501,"=54")</f>
        <v>0</v>
      </c>
      <c r="G108" s="138">
        <f>SUMIFS('Plan rashoda za unos u SAP'!$K$3:$K$501,'Plan rashoda za unos u SAP'!$C$3:$C$501,"=31",'Plan rashoda za unos u SAP'!$N$3:$N$501,"=54")+SUMIFS('ANALITIKA EU PROJEKATA'!$I$3:$I$501,'ANALITIKA EU PROJEKATA'!$A$3:$A$501,"=31",'ANALITIKA EU PROJEKATA'!$Q$3:$Q$501,"=54")</f>
        <v>0</v>
      </c>
      <c r="H108" s="138">
        <f>SUMIFS('Plan rashoda za unos u SAP'!$K$3:$K$501,'Plan rashoda za unos u SAP'!$C$3:$C$501,"=41",'Plan rashoda za unos u SAP'!$N$3:$N$501,"=54")+SUMIFS('ANALITIKA EU PROJEKATA'!$I$3:$I$501,'ANALITIKA EU PROJEKATA'!$A$3:$A$501,"=41",'ANALITIKA EU PROJEKATA'!$Q$3:$Q$501,"=54")</f>
        <v>0</v>
      </c>
      <c r="I108" s="138">
        <f>SUMIFS('Plan rashoda za unos u SAP'!$K$3:$K$501,'Plan rashoda za unos u SAP'!$C$3:$C$501,"=43",'Plan rashoda za unos u SAP'!$N$3:$N$501,"=54")+SUMIFS('ANALITIKA EU PROJEKATA'!$I$3:$I$501,'ANALITIKA EU PROJEKATA'!$A$3:$A$501,"=43",'ANALITIKA EU PROJEKATA'!$Q$3:$Q$501,"=54")</f>
        <v>0</v>
      </c>
      <c r="J108" s="138">
        <f>SUMIFS('Plan rashoda za unos u SAP'!$K$3:$K$501,'Plan rashoda za unos u SAP'!$C$3:$C$501,"=51",'Plan rashoda za unos u SAP'!$N$3:$N$501,"=54")+SUMIFS('ANALITIKA EU PROJEKATA'!$I$3:$I$501,'ANALITIKA EU PROJEKATA'!$A$3:$A$501,"=51",'ANALITIKA EU PROJEKATA'!$Q$3:$Q$501,"=54")</f>
        <v>0</v>
      </c>
      <c r="K108" s="138">
        <f>SUMIFS('Plan rashoda za unos u SAP'!$K$3:$K$501,'Plan rashoda za unos u SAP'!$C$3:$C$501,"=52",'Plan rashoda za unos u SAP'!$N$3:$N$501,"=54")+SUMIFS('ANALITIKA EU PROJEKATA'!$I$3:$I$501,'ANALITIKA EU PROJEKATA'!$A$3:$A$501,"=52",'ANALITIKA EU PROJEKATA'!$Q$3:$Q$501,"=54")</f>
        <v>0</v>
      </c>
      <c r="L108" s="138">
        <f>SUMIFS('Plan rashoda za unos u SAP'!$K$3:$K$501,'Plan rashoda za unos u SAP'!$C$3:$C$501,"=552",'Plan rashoda za unos u SAP'!$N$3:$N$501,"=54")+SUMIFS('ANALITIKA EU PROJEKATA'!$I$3:$I$501,'ANALITIKA EU PROJEKATA'!$A$3:$A$501,"=552",'ANALITIKA EU PROJEKATA'!$Q$3:$Q$501,"=54")</f>
        <v>0</v>
      </c>
      <c r="M108" s="138">
        <f>SUMIFS('Plan rashoda za unos u SAP'!$K$3:$K$501,'Plan rashoda za unos u SAP'!$C$3:$C$501,"=559",'Plan rashoda za unos u SAP'!$N$3:$N$501,"=54")+SUMIFS('ANALITIKA EU PROJEKATA'!$I$3:$I$501,'ANALITIKA EU PROJEKATA'!$A$3:$A$501,"=559",'ANALITIKA EU PROJEKATA'!$Q$3:$Q$501,"=54")</f>
        <v>0</v>
      </c>
      <c r="N108" s="138">
        <f>SUMIFS('Plan rashoda za unos u SAP'!$K$3:$K$501,'Plan rashoda za unos u SAP'!$C$3:$C$501,"=561",'Plan rashoda za unos u SAP'!$N$3:$N$501,"=54")+SUMIFS('ANALITIKA EU PROJEKATA'!$I$3:$I$501,'ANALITIKA EU PROJEKATA'!$A$3:$A$501,"=561",'ANALITIKA EU PROJEKATA'!$Q$3:$Q$501,"=54")</f>
        <v>0</v>
      </c>
      <c r="O108" s="138">
        <f>SUMIFS('Plan rashoda za unos u SAP'!$K$3:$K$501,'Plan rashoda za unos u SAP'!$C$3:$C$501,"=563",'Plan rashoda za unos u SAP'!$N$3:$N$501,"=54")+SUMIFS('ANALITIKA EU PROJEKATA'!$I$3:$I$501,'ANALITIKA EU PROJEKATA'!$A$3:$A$501,"=563",'ANALITIKA EU PROJEKATA'!$Q$3:$Q$501,"=54")</f>
        <v>0</v>
      </c>
      <c r="P108" s="138">
        <f>SUMIFS('Plan rashoda za unos u SAP'!$K$3:$K$501,'Plan rashoda za unos u SAP'!$C$3:$C$501,"=573",'Plan rashoda za unos u SAP'!$N$3:$N$501,"=54")+SUMIFS('ANALITIKA EU PROJEKATA'!$I$3:$I$501,'ANALITIKA EU PROJEKATA'!$A$3:$A$501,"=573",'ANALITIKA EU PROJEKATA'!$Q$3:$Q$501,"=54")</f>
        <v>0</v>
      </c>
      <c r="Q108" s="138">
        <f>SUMIFS('Plan rashoda za unos u SAP'!$K$3:$K$501,'Plan rashoda za unos u SAP'!$C$3:$C$501,"=575",'Plan rashoda za unos u SAP'!$N$3:$N$501,"=54")+SUMIFS('ANALITIKA EU PROJEKATA'!$I$3:$I$501,'ANALITIKA EU PROJEKATA'!$A$3:$A$501,"=575",'ANALITIKA EU PROJEKATA'!$Q$3:$Q$501,"=54")</f>
        <v>0</v>
      </c>
      <c r="R108" s="138">
        <f>SUMIFS('Plan rashoda za unos u SAP'!$K$3:$K$501,'Plan rashoda za unos u SAP'!$C$3:$C$501,"=576",'Plan rashoda za unos u SAP'!$N$3:$N$501,"=54")+SUMIFS('ANALITIKA EU PROJEKATA'!$I$3:$I$501,'ANALITIKA EU PROJEKATA'!$A$3:$A$501,"=576",'ANALITIKA EU PROJEKATA'!$Q$3:$Q$501,"=54")</f>
        <v>0</v>
      </c>
      <c r="S108" s="138">
        <f>SUMIFS('Plan rashoda za unos u SAP'!$K$3:$K$501,'Plan rashoda za unos u SAP'!$C$3:$C$501,"=581",'Plan rashoda za unos u SAP'!$N$3:$N$501,"=54")+SUMIFS('ANALITIKA EU PROJEKATA'!$I$3:$I$501,'ANALITIKA EU PROJEKATA'!$A$3:$A$501,"=581",'ANALITIKA EU PROJEKATA'!$Q$3:$Q$501,"=54")</f>
        <v>0</v>
      </c>
      <c r="T108" s="138">
        <f>SUMIFS('Plan rashoda za unos u SAP'!$K$3:$K$501,'Plan rashoda za unos u SAP'!$C$3:$C$501,"=61",'Plan rashoda za unos u SAP'!$N$3:$N$501,"=54")+SUMIFS('ANALITIKA EU PROJEKATA'!$I$3:$I$501,'ANALITIKA EU PROJEKATA'!$A$3:$A$501,"=61",'ANALITIKA EU PROJEKATA'!$Q$3:$Q$501,"=54")</f>
        <v>0</v>
      </c>
      <c r="U108" s="138">
        <f>SUMIFS('Plan rashoda za unos u SAP'!$K$3:$K$501,'Plan rashoda za unos u SAP'!$C$3:$C$501,"=63",'Plan rashoda za unos u SAP'!$N$3:$N$501,"=54")+SUMIFS('ANALITIKA EU PROJEKATA'!$I$3:$I$501,'ANALITIKA EU PROJEKATA'!$A$3:$A$501,"=63",'ANALITIKA EU PROJEKATA'!$Q$3:$Q$501,"=54")</f>
        <v>0</v>
      </c>
      <c r="V108" s="138">
        <f>SUMIFS('Plan rashoda za unos u SAP'!$K$3:$K$501,'Plan rashoda za unos u SAP'!$C$3:$C$501,"=71",'Plan rashoda za unos u SAP'!$N$3:$N$501,"=54")+SUMIFS('ANALITIKA EU PROJEKATA'!$I$3:$I$501,'ANALITIKA EU PROJEKATA'!$A$3:$A$501,"=71",'ANALITIKA EU PROJEKATA'!$Q$3:$Q$501,"=54")</f>
        <v>0</v>
      </c>
      <c r="W108" s="138">
        <f>SUMIFS('Plan rashoda za unos u SAP'!$K$3:$K$501,'Plan rashoda za unos u SAP'!$C$3:$C$501,"=81",'Plan rashoda za unos u SAP'!$N$3:$N$501,"=54")+SUMIFS('ANALITIKA EU PROJEKATA'!$I$3:$I$501,'ANALITIKA EU PROJEKATA'!$A$3:$A$501,"=81",'ANALITIKA EU PROJEKATA'!$Q$3:$Q$501,"=54")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sheetProtection algorithmName="SHA-512" hashValue="tkJN1IPi+sYdLGzCuEnKYIbsPqhEyiKA4gPiDP5RNITtlGu0/SAyHe+faeeIlhjvnolN795qXyFSKrolLtmzLw==" saltValue="pIqgo0+1rpjeNoCT1iHROA==" spinCount="100000" sheet="1" selectLockedCells="1" autoFilter="0"/>
  <autoFilter ref="B70:W85"/>
  <mergeCells count="1">
    <mergeCell ref="B1:W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4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W27"/>
  <sheetViews>
    <sheetView workbookViewId="0">
      <selection activeCell="O15" sqref="O15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3488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220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3489</v>
      </c>
      <c r="B8" s="26"/>
    </row>
    <row r="9" spans="1:8" ht="15.75" thickBot="1"/>
    <row r="10" spans="1:8" ht="15" customHeight="1">
      <c r="A10" s="286" t="s">
        <v>221</v>
      </c>
      <c r="B10" s="288" t="s">
        <v>222</v>
      </c>
      <c r="C10" s="288" t="s">
        <v>223</v>
      </c>
      <c r="D10" s="291" t="s">
        <v>224</v>
      </c>
      <c r="E10" s="284" t="s">
        <v>3490</v>
      </c>
      <c r="F10" s="284" t="s">
        <v>765</v>
      </c>
      <c r="G10" s="284" t="s">
        <v>1912</v>
      </c>
      <c r="H10" s="284" t="s">
        <v>3491</v>
      </c>
    </row>
    <row r="11" spans="1:8" ht="15.75" thickBot="1">
      <c r="A11" s="287"/>
      <c r="B11" s="289"/>
      <c r="C11" s="290"/>
      <c r="D11" s="292"/>
      <c r="E11" s="293"/>
      <c r="F11" s="285"/>
      <c r="G11" s="285"/>
      <c r="H11" s="285"/>
    </row>
    <row r="12" spans="1:8">
      <c r="A12" s="29"/>
      <c r="B12" s="30"/>
      <c r="C12" s="31"/>
      <c r="D12" s="196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225</v>
      </c>
      <c r="B23" s="55"/>
      <c r="C23" s="56"/>
      <c r="D23" s="56"/>
      <c r="E23" s="56"/>
      <c r="F23" s="56"/>
      <c r="G23" s="57" t="s">
        <v>226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227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311"/>
  <sheetViews>
    <sheetView workbookViewId="0">
      <selection activeCell="A151" sqref="A151:XFD151"/>
    </sheetView>
  </sheetViews>
  <sheetFormatPr defaultRowHeight="15"/>
  <cols>
    <col min="1" max="1" width="15.85546875" style="203" customWidth="1"/>
    <col min="2" max="2" width="113.5703125" style="203" customWidth="1"/>
  </cols>
  <sheetData>
    <row r="1" spans="1:2">
      <c r="A1" s="244" t="s">
        <v>1057</v>
      </c>
      <c r="B1" s="243" t="s">
        <v>587</v>
      </c>
    </row>
    <row r="2" spans="1:2" s="203" customFormat="1">
      <c r="A2" s="202" t="s">
        <v>1067</v>
      </c>
      <c r="B2" s="212" t="s">
        <v>1068</v>
      </c>
    </row>
    <row r="3" spans="1:2">
      <c r="A3" s="244" t="s">
        <v>1065</v>
      </c>
      <c r="B3" s="243" t="s">
        <v>1066</v>
      </c>
    </row>
    <row r="4" spans="1:2" s="203" customFormat="1" ht="32.25" customHeight="1">
      <c r="A4" s="246" t="s">
        <v>2002</v>
      </c>
      <c r="B4" s="245" t="s">
        <v>2003</v>
      </c>
    </row>
    <row r="5" spans="1:2" s="203" customFormat="1">
      <c r="A5" s="246" t="s">
        <v>2004</v>
      </c>
      <c r="B5" s="245" t="s">
        <v>2005</v>
      </c>
    </row>
    <row r="6" spans="1:2" s="203" customFormat="1">
      <c r="A6" s="246" t="s">
        <v>2006</v>
      </c>
      <c r="B6" s="245" t="s">
        <v>2007</v>
      </c>
    </row>
    <row r="7" spans="1:2" s="203" customFormat="1">
      <c r="A7" s="246" t="s">
        <v>1819</v>
      </c>
      <c r="B7" s="245" t="s">
        <v>1820</v>
      </c>
    </row>
    <row r="8" spans="1:2" s="203" customFormat="1">
      <c r="A8" s="246" t="s">
        <v>1821</v>
      </c>
      <c r="B8" s="245" t="s">
        <v>1822</v>
      </c>
    </row>
    <row r="9" spans="1:2" s="203" customFormat="1">
      <c r="A9" s="246" t="s">
        <v>2008</v>
      </c>
      <c r="B9" s="245" t="s">
        <v>2009</v>
      </c>
    </row>
    <row r="10" spans="1:2" s="203" customFormat="1">
      <c r="A10" s="246" t="s">
        <v>2010</v>
      </c>
      <c r="B10" s="245" t="s">
        <v>2011</v>
      </c>
    </row>
    <row r="11" spans="1:2" s="203" customFormat="1">
      <c r="A11" s="246" t="s">
        <v>2012</v>
      </c>
      <c r="B11" s="245" t="s">
        <v>2013</v>
      </c>
    </row>
    <row r="12" spans="1:2" s="203" customFormat="1">
      <c r="A12" s="246" t="s">
        <v>1069</v>
      </c>
      <c r="B12" s="245" t="s">
        <v>1070</v>
      </c>
    </row>
    <row r="13" spans="1:2" s="203" customFormat="1">
      <c r="A13" s="246" t="s">
        <v>1823</v>
      </c>
      <c r="B13" s="245" t="s">
        <v>1824</v>
      </c>
    </row>
    <row r="14" spans="1:2" s="203" customFormat="1">
      <c r="A14" s="246" t="s">
        <v>1071</v>
      </c>
      <c r="B14" s="245" t="s">
        <v>1072</v>
      </c>
    </row>
    <row r="15" spans="1:2" s="203" customFormat="1">
      <c r="A15" s="246" t="s">
        <v>2014</v>
      </c>
      <c r="B15" s="245" t="s">
        <v>2015</v>
      </c>
    </row>
    <row r="16" spans="1:2" s="203" customFormat="1">
      <c r="A16" s="246" t="s">
        <v>1825</v>
      </c>
      <c r="B16" s="245" t="s">
        <v>1826</v>
      </c>
    </row>
    <row r="17" spans="1:2" s="203" customFormat="1">
      <c r="A17" s="246" t="s">
        <v>2016</v>
      </c>
      <c r="B17" s="245" t="s">
        <v>2017</v>
      </c>
    </row>
    <row r="18" spans="1:2" s="203" customFormat="1">
      <c r="A18" s="246" t="s">
        <v>2018</v>
      </c>
      <c r="B18" s="245" t="s">
        <v>2019</v>
      </c>
    </row>
    <row r="19" spans="1:2" s="203" customFormat="1">
      <c r="A19" s="246" t="s">
        <v>2020</v>
      </c>
      <c r="B19" s="245" t="s">
        <v>2021</v>
      </c>
    </row>
    <row r="20" spans="1:2" s="203" customFormat="1">
      <c r="A20" s="246" t="s">
        <v>2022</v>
      </c>
      <c r="B20" s="245" t="s">
        <v>2023</v>
      </c>
    </row>
    <row r="21" spans="1:2" s="203" customFormat="1">
      <c r="A21" s="246" t="s">
        <v>2024</v>
      </c>
      <c r="B21" s="245" t="s">
        <v>2025</v>
      </c>
    </row>
    <row r="22" spans="1:2" s="203" customFormat="1">
      <c r="A22" s="246" t="s">
        <v>2026</v>
      </c>
      <c r="B22" s="245" t="s">
        <v>2027</v>
      </c>
    </row>
    <row r="23" spans="1:2" s="203" customFormat="1">
      <c r="A23" s="246" t="s">
        <v>2028</v>
      </c>
      <c r="B23" s="245" t="s">
        <v>2029</v>
      </c>
    </row>
    <row r="24" spans="1:2" s="203" customFormat="1">
      <c r="A24" s="246" t="s">
        <v>1073</v>
      </c>
      <c r="B24" s="245" t="s">
        <v>1074</v>
      </c>
    </row>
    <row r="25" spans="1:2" s="203" customFormat="1">
      <c r="A25" s="246" t="s">
        <v>2030</v>
      </c>
      <c r="B25" s="245" t="s">
        <v>2031</v>
      </c>
    </row>
    <row r="26" spans="1:2" s="203" customFormat="1">
      <c r="A26" s="246" t="s">
        <v>2032</v>
      </c>
      <c r="B26" s="245" t="s">
        <v>2033</v>
      </c>
    </row>
    <row r="27" spans="1:2" s="203" customFormat="1">
      <c r="A27" s="246" t="s">
        <v>2034</v>
      </c>
      <c r="B27" s="245" t="s">
        <v>2035</v>
      </c>
    </row>
    <row r="28" spans="1:2" s="203" customFormat="1">
      <c r="A28" s="246" t="s">
        <v>2036</v>
      </c>
      <c r="B28" s="245" t="s">
        <v>2037</v>
      </c>
    </row>
    <row r="29" spans="1:2" s="203" customFormat="1">
      <c r="A29" s="246" t="s">
        <v>2038</v>
      </c>
      <c r="B29" s="245" t="s">
        <v>2039</v>
      </c>
    </row>
    <row r="30" spans="1:2" s="203" customFormat="1">
      <c r="A30" s="246" t="s">
        <v>2040</v>
      </c>
      <c r="B30" s="245" t="s">
        <v>2041</v>
      </c>
    </row>
    <row r="31" spans="1:2" s="203" customFormat="1">
      <c r="A31" s="246" t="s">
        <v>1827</v>
      </c>
      <c r="B31" s="245" t="s">
        <v>1828</v>
      </c>
    </row>
    <row r="32" spans="1:2" s="203" customFormat="1">
      <c r="A32" s="246" t="s">
        <v>1829</v>
      </c>
      <c r="B32" s="245" t="s">
        <v>1830</v>
      </c>
    </row>
    <row r="33" spans="1:2" s="203" customFormat="1" ht="25.5">
      <c r="A33" s="246" t="s">
        <v>2042</v>
      </c>
      <c r="B33" s="245" t="s">
        <v>2043</v>
      </c>
    </row>
    <row r="34" spans="1:2" s="203" customFormat="1">
      <c r="A34" s="246" t="s">
        <v>2044</v>
      </c>
      <c r="B34" s="245" t="s">
        <v>2045</v>
      </c>
    </row>
    <row r="35" spans="1:2" s="203" customFormat="1">
      <c r="A35" s="246" t="s">
        <v>2046</v>
      </c>
      <c r="B35" s="245" t="s">
        <v>2047</v>
      </c>
    </row>
    <row r="36" spans="1:2" s="203" customFormat="1">
      <c r="A36" s="246" t="s">
        <v>2048</v>
      </c>
      <c r="B36" s="245" t="s">
        <v>2049</v>
      </c>
    </row>
    <row r="37" spans="1:2" s="203" customFormat="1">
      <c r="A37" s="246" t="s">
        <v>2050</v>
      </c>
      <c r="B37" s="245" t="s">
        <v>1058</v>
      </c>
    </row>
    <row r="38" spans="1:2" s="203" customFormat="1">
      <c r="A38" s="246" t="s">
        <v>1831</v>
      </c>
      <c r="B38" s="245" t="s">
        <v>1832</v>
      </c>
    </row>
    <row r="39" spans="1:2" s="203" customFormat="1">
      <c r="A39" s="246" t="s">
        <v>2051</v>
      </c>
      <c r="B39" s="245" t="s">
        <v>2052</v>
      </c>
    </row>
    <row r="40" spans="1:2" s="203" customFormat="1">
      <c r="A40" s="246" t="s">
        <v>2053</v>
      </c>
      <c r="B40" s="245" t="s">
        <v>2054</v>
      </c>
    </row>
    <row r="41" spans="1:2" s="203" customFormat="1">
      <c r="A41" s="246" t="s">
        <v>2055</v>
      </c>
      <c r="B41" s="245" t="s">
        <v>2056</v>
      </c>
    </row>
    <row r="42" spans="1:2" s="203" customFormat="1">
      <c r="A42" s="246" t="s">
        <v>2057</v>
      </c>
      <c r="B42" s="245" t="s">
        <v>1058</v>
      </c>
    </row>
    <row r="43" spans="1:2" s="203" customFormat="1">
      <c r="A43" s="246" t="s">
        <v>1833</v>
      </c>
      <c r="B43" s="245" t="s">
        <v>1259</v>
      </c>
    </row>
    <row r="44" spans="1:2" s="203" customFormat="1">
      <c r="A44" s="246" t="s">
        <v>2058</v>
      </c>
      <c r="B44" s="245" t="s">
        <v>2059</v>
      </c>
    </row>
    <row r="45" spans="1:2" s="203" customFormat="1">
      <c r="A45" s="246" t="s">
        <v>1834</v>
      </c>
      <c r="B45" s="245" t="s">
        <v>1835</v>
      </c>
    </row>
    <row r="46" spans="1:2" s="203" customFormat="1">
      <c r="A46" s="246" t="s">
        <v>2060</v>
      </c>
      <c r="B46" s="245" t="s">
        <v>2061</v>
      </c>
    </row>
    <row r="47" spans="1:2" s="203" customFormat="1">
      <c r="A47" s="246" t="s">
        <v>2062</v>
      </c>
      <c r="B47" s="245" t="s">
        <v>2063</v>
      </c>
    </row>
    <row r="48" spans="1:2" s="203" customFormat="1">
      <c r="A48" s="246" t="s">
        <v>2064</v>
      </c>
      <c r="B48" s="245" t="s">
        <v>2065</v>
      </c>
    </row>
    <row r="49" spans="1:2" s="203" customFormat="1">
      <c r="A49" s="246" t="s">
        <v>2066</v>
      </c>
      <c r="B49" s="245" t="s">
        <v>2067</v>
      </c>
    </row>
    <row r="50" spans="1:2" s="203" customFormat="1">
      <c r="A50" s="246" t="s">
        <v>2068</v>
      </c>
      <c r="B50" s="245" t="s">
        <v>2069</v>
      </c>
    </row>
    <row r="51" spans="1:2" s="203" customFormat="1">
      <c r="A51" s="246" t="s">
        <v>2070</v>
      </c>
      <c r="B51" s="245" t="s">
        <v>2071</v>
      </c>
    </row>
    <row r="52" spans="1:2" s="203" customFormat="1">
      <c r="A52" s="246" t="s">
        <v>2072</v>
      </c>
      <c r="B52" s="245" t="s">
        <v>2073</v>
      </c>
    </row>
    <row r="53" spans="1:2" s="203" customFormat="1">
      <c r="A53" s="246" t="s">
        <v>2074</v>
      </c>
      <c r="B53" s="245" t="s">
        <v>2075</v>
      </c>
    </row>
    <row r="54" spans="1:2" s="203" customFormat="1">
      <c r="A54" s="246" t="s">
        <v>2076</v>
      </c>
      <c r="B54" s="245" t="s">
        <v>2077</v>
      </c>
    </row>
    <row r="55" spans="1:2" s="203" customFormat="1">
      <c r="A55" s="246" t="s">
        <v>2078</v>
      </c>
      <c r="B55" s="245" t="s">
        <v>2079</v>
      </c>
    </row>
    <row r="56" spans="1:2" s="203" customFormat="1">
      <c r="A56" s="246" t="s">
        <v>2080</v>
      </c>
      <c r="B56" s="245" t="s">
        <v>2081</v>
      </c>
    </row>
    <row r="57" spans="1:2" s="203" customFormat="1">
      <c r="A57" s="246" t="s">
        <v>2082</v>
      </c>
      <c r="B57" s="245" t="s">
        <v>2083</v>
      </c>
    </row>
    <row r="58" spans="1:2" s="203" customFormat="1">
      <c r="A58" s="246" t="s">
        <v>2084</v>
      </c>
      <c r="B58" s="245" t="s">
        <v>2085</v>
      </c>
    </row>
    <row r="59" spans="1:2" s="203" customFormat="1">
      <c r="A59" s="246" t="s">
        <v>2087</v>
      </c>
      <c r="B59" s="245" t="s">
        <v>2088</v>
      </c>
    </row>
    <row r="60" spans="1:2" s="203" customFormat="1">
      <c r="A60" s="246" t="s">
        <v>2089</v>
      </c>
      <c r="B60" s="245" t="s">
        <v>2090</v>
      </c>
    </row>
    <row r="61" spans="1:2" s="203" customFormat="1">
      <c r="A61" s="246" t="s">
        <v>2091</v>
      </c>
      <c r="B61" s="245" t="s">
        <v>2092</v>
      </c>
    </row>
    <row r="62" spans="1:2" s="203" customFormat="1">
      <c r="A62" s="246" t="s">
        <v>2093</v>
      </c>
      <c r="B62" s="245" t="s">
        <v>2094</v>
      </c>
    </row>
    <row r="63" spans="1:2" s="203" customFormat="1">
      <c r="A63" s="246" t="s">
        <v>2095</v>
      </c>
      <c r="B63" s="245" t="s">
        <v>2096</v>
      </c>
    </row>
    <row r="64" spans="1:2" s="203" customFormat="1">
      <c r="A64" s="246" t="s">
        <v>2097</v>
      </c>
      <c r="B64" s="245" t="s">
        <v>2098</v>
      </c>
    </row>
    <row r="65" spans="1:2" s="203" customFormat="1">
      <c r="A65" s="246" t="s">
        <v>2101</v>
      </c>
      <c r="B65" s="245" t="s">
        <v>2102</v>
      </c>
    </row>
    <row r="66" spans="1:2" s="203" customFormat="1" ht="25.5">
      <c r="A66" s="246" t="s">
        <v>1082</v>
      </c>
      <c r="B66" s="245" t="s">
        <v>1083</v>
      </c>
    </row>
    <row r="67" spans="1:2" s="203" customFormat="1">
      <c r="A67" s="246" t="s">
        <v>1084</v>
      </c>
      <c r="B67" s="245" t="s">
        <v>1085</v>
      </c>
    </row>
    <row r="68" spans="1:2" s="203" customFormat="1" ht="25.5">
      <c r="A68" s="246" t="s">
        <v>2103</v>
      </c>
      <c r="B68" s="245" t="s">
        <v>2104</v>
      </c>
    </row>
    <row r="69" spans="1:2" s="203" customFormat="1">
      <c r="A69" s="246" t="s">
        <v>2105</v>
      </c>
      <c r="B69" s="245" t="s">
        <v>2106</v>
      </c>
    </row>
    <row r="70" spans="1:2" s="203" customFormat="1">
      <c r="A70" s="246" t="s">
        <v>2107</v>
      </c>
      <c r="B70" s="245" t="s">
        <v>2108</v>
      </c>
    </row>
    <row r="71" spans="1:2" s="203" customFormat="1">
      <c r="A71" s="246" t="s">
        <v>2109</v>
      </c>
      <c r="B71" s="245" t="s">
        <v>2110</v>
      </c>
    </row>
    <row r="72" spans="1:2" s="203" customFormat="1">
      <c r="A72" s="246" t="s">
        <v>1836</v>
      </c>
      <c r="B72" s="245" t="s">
        <v>1837</v>
      </c>
    </row>
    <row r="73" spans="1:2" s="203" customFormat="1">
      <c r="A73" s="246" t="s">
        <v>2111</v>
      </c>
      <c r="B73" s="245" t="s">
        <v>2112</v>
      </c>
    </row>
    <row r="74" spans="1:2" s="203" customFormat="1">
      <c r="A74" s="246" t="s">
        <v>2113</v>
      </c>
      <c r="B74" s="245" t="s">
        <v>2114</v>
      </c>
    </row>
    <row r="75" spans="1:2" s="203" customFormat="1">
      <c r="A75" s="246" t="s">
        <v>2115</v>
      </c>
      <c r="B75" s="245" t="s">
        <v>2116</v>
      </c>
    </row>
    <row r="76" spans="1:2" s="203" customFormat="1">
      <c r="A76" s="246" t="s">
        <v>2117</v>
      </c>
      <c r="B76" s="245" t="s">
        <v>2118</v>
      </c>
    </row>
    <row r="77" spans="1:2" s="203" customFormat="1">
      <c r="A77" s="246" t="s">
        <v>2119</v>
      </c>
      <c r="B77" s="245" t="s">
        <v>2120</v>
      </c>
    </row>
    <row r="78" spans="1:2" s="203" customFormat="1">
      <c r="A78" s="246" t="s">
        <v>2121</v>
      </c>
      <c r="B78" s="245" t="s">
        <v>2122</v>
      </c>
    </row>
    <row r="79" spans="1:2" s="203" customFormat="1">
      <c r="A79" s="246" t="s">
        <v>2135</v>
      </c>
      <c r="B79" s="245" t="s">
        <v>2136</v>
      </c>
    </row>
    <row r="80" spans="1:2" s="203" customFormat="1">
      <c r="A80" s="246" t="s">
        <v>1838</v>
      </c>
      <c r="B80" s="245" t="s">
        <v>1839</v>
      </c>
    </row>
    <row r="81" spans="1:2" s="203" customFormat="1">
      <c r="A81" s="246" t="s">
        <v>1075</v>
      </c>
      <c r="B81" s="245" t="s">
        <v>1076</v>
      </c>
    </row>
    <row r="82" spans="1:2" s="203" customFormat="1">
      <c r="A82" s="246" t="s">
        <v>1077</v>
      </c>
      <c r="B82" s="245" t="s">
        <v>1078</v>
      </c>
    </row>
    <row r="83" spans="1:2" s="203" customFormat="1">
      <c r="A83" s="246" t="s">
        <v>1086</v>
      </c>
      <c r="B83" s="245" t="s">
        <v>1087</v>
      </c>
    </row>
    <row r="84" spans="1:2" s="203" customFormat="1">
      <c r="A84" s="246" t="s">
        <v>1840</v>
      </c>
      <c r="B84" s="245" t="s">
        <v>1841</v>
      </c>
    </row>
    <row r="85" spans="1:2" s="203" customFormat="1">
      <c r="A85" s="246" t="s">
        <v>2137</v>
      </c>
      <c r="B85" s="245" t="s">
        <v>2138</v>
      </c>
    </row>
    <row r="86" spans="1:2" s="203" customFormat="1" ht="25.5">
      <c r="A86" s="246" t="s">
        <v>1842</v>
      </c>
      <c r="B86" s="245" t="s">
        <v>1843</v>
      </c>
    </row>
    <row r="87" spans="1:2" s="203" customFormat="1">
      <c r="A87" s="246" t="s">
        <v>2139</v>
      </c>
      <c r="B87" s="245" t="s">
        <v>2140</v>
      </c>
    </row>
    <row r="88" spans="1:2" s="203" customFormat="1">
      <c r="A88" s="246" t="s">
        <v>2141</v>
      </c>
      <c r="B88" s="245" t="s">
        <v>2142</v>
      </c>
    </row>
    <row r="89" spans="1:2" s="203" customFormat="1">
      <c r="A89" s="246" t="s">
        <v>2143</v>
      </c>
      <c r="B89" s="245" t="s">
        <v>2144</v>
      </c>
    </row>
    <row r="90" spans="1:2" s="203" customFormat="1">
      <c r="A90" s="246" t="s">
        <v>2145</v>
      </c>
      <c r="B90" s="245" t="s">
        <v>2146</v>
      </c>
    </row>
    <row r="91" spans="1:2" s="203" customFormat="1">
      <c r="A91" s="246" t="s">
        <v>2147</v>
      </c>
      <c r="B91" s="245" t="s">
        <v>2148</v>
      </c>
    </row>
    <row r="92" spans="1:2" s="203" customFormat="1">
      <c r="A92" s="246" t="s">
        <v>2149</v>
      </c>
      <c r="B92" s="245" t="s">
        <v>2150</v>
      </c>
    </row>
    <row r="93" spans="1:2" s="203" customFormat="1">
      <c r="A93" s="246" t="s">
        <v>2151</v>
      </c>
      <c r="B93" s="245" t="s">
        <v>2152</v>
      </c>
    </row>
    <row r="94" spans="1:2" s="203" customFormat="1">
      <c r="A94" s="246" t="s">
        <v>2153</v>
      </c>
      <c r="B94" s="245" t="s">
        <v>2154</v>
      </c>
    </row>
    <row r="95" spans="1:2" s="203" customFormat="1">
      <c r="A95" s="246" t="s">
        <v>1844</v>
      </c>
      <c r="B95" s="245" t="s">
        <v>1845</v>
      </c>
    </row>
    <row r="96" spans="1:2" s="203" customFormat="1">
      <c r="A96" s="246" t="s">
        <v>2155</v>
      </c>
      <c r="B96" s="245" t="s">
        <v>2156</v>
      </c>
    </row>
    <row r="97" spans="1:2" s="203" customFormat="1">
      <c r="A97" s="246" t="s">
        <v>1091</v>
      </c>
      <c r="B97" s="245" t="s">
        <v>1092</v>
      </c>
    </row>
    <row r="98" spans="1:2" s="203" customFormat="1">
      <c r="A98" s="246" t="s">
        <v>1846</v>
      </c>
      <c r="B98" s="245" t="s">
        <v>1847</v>
      </c>
    </row>
    <row r="99" spans="1:2" s="203" customFormat="1">
      <c r="A99" s="246" t="s">
        <v>1088</v>
      </c>
      <c r="B99" s="245" t="s">
        <v>1089</v>
      </c>
    </row>
    <row r="100" spans="1:2" s="203" customFormat="1">
      <c r="A100" s="246" t="s">
        <v>1079</v>
      </c>
      <c r="B100" s="245" t="s">
        <v>1080</v>
      </c>
    </row>
    <row r="101" spans="1:2" s="203" customFormat="1">
      <c r="A101" s="246" t="s">
        <v>1848</v>
      </c>
      <c r="B101" s="245" t="s">
        <v>1849</v>
      </c>
    </row>
    <row r="102" spans="1:2" s="203" customFormat="1">
      <c r="A102" s="246" t="s">
        <v>1902</v>
      </c>
      <c r="B102" s="245" t="s">
        <v>1903</v>
      </c>
    </row>
    <row r="103" spans="1:2" s="203" customFormat="1">
      <c r="A103" s="246" t="s">
        <v>2157</v>
      </c>
      <c r="B103" s="245" t="s">
        <v>2158</v>
      </c>
    </row>
    <row r="104" spans="1:2" s="203" customFormat="1">
      <c r="A104" s="246" t="s">
        <v>2159</v>
      </c>
      <c r="B104" s="245" t="s">
        <v>2160</v>
      </c>
    </row>
    <row r="105" spans="1:2" s="203" customFormat="1">
      <c r="A105" s="246" t="s">
        <v>2161</v>
      </c>
      <c r="B105" s="245" t="s">
        <v>2162</v>
      </c>
    </row>
    <row r="106" spans="1:2" s="203" customFormat="1" ht="25.5">
      <c r="A106" s="246" t="s">
        <v>2163</v>
      </c>
      <c r="B106" s="245" t="s">
        <v>2164</v>
      </c>
    </row>
    <row r="107" spans="1:2" s="203" customFormat="1">
      <c r="A107" s="246" t="s">
        <v>1850</v>
      </c>
      <c r="B107" s="245" t="s">
        <v>1851</v>
      </c>
    </row>
    <row r="108" spans="1:2" s="203" customFormat="1">
      <c r="A108" s="246" t="s">
        <v>1910</v>
      </c>
      <c r="B108" s="245" t="s">
        <v>2165</v>
      </c>
    </row>
    <row r="109" spans="1:2" s="203" customFormat="1">
      <c r="A109" s="246" t="s">
        <v>2166</v>
      </c>
      <c r="B109" s="245" t="s">
        <v>2167</v>
      </c>
    </row>
    <row r="110" spans="1:2" s="203" customFormat="1">
      <c r="A110" s="246" t="s">
        <v>2168</v>
      </c>
      <c r="B110" s="245" t="s">
        <v>2169</v>
      </c>
    </row>
    <row r="111" spans="1:2" s="203" customFormat="1">
      <c r="A111" s="246" t="s">
        <v>1852</v>
      </c>
      <c r="B111" s="245" t="s">
        <v>1853</v>
      </c>
    </row>
    <row r="112" spans="1:2" s="203" customFormat="1">
      <c r="A112" s="246" t="s">
        <v>2170</v>
      </c>
      <c r="B112" s="245" t="s">
        <v>2171</v>
      </c>
    </row>
    <row r="113" spans="1:3" s="203" customFormat="1" ht="25.5">
      <c r="A113" s="246" t="s">
        <v>2172</v>
      </c>
      <c r="B113" s="245" t="s">
        <v>2173</v>
      </c>
    </row>
    <row r="114" spans="1:3" s="203" customFormat="1">
      <c r="A114" s="246" t="s">
        <v>2190</v>
      </c>
      <c r="B114" s="245" t="s">
        <v>2191</v>
      </c>
    </row>
    <row r="115" spans="1:3" s="203" customFormat="1">
      <c r="A115" s="246" t="s">
        <v>2192</v>
      </c>
      <c r="B115" s="245" t="s">
        <v>2193</v>
      </c>
    </row>
    <row r="116" spans="1:3" s="203" customFormat="1">
      <c r="A116" s="246" t="s">
        <v>2194</v>
      </c>
      <c r="B116" s="245" t="s">
        <v>2195</v>
      </c>
    </row>
    <row r="117" spans="1:3" s="203" customFormat="1">
      <c r="A117" s="246" t="s">
        <v>2196</v>
      </c>
      <c r="B117" s="245" t="s">
        <v>2197</v>
      </c>
    </row>
    <row r="118" spans="1:3" s="258" customFormat="1">
      <c r="A118" s="256" t="s">
        <v>1090</v>
      </c>
      <c r="B118" s="257" t="s">
        <v>1854</v>
      </c>
      <c r="C118" s="258" t="s">
        <v>3497</v>
      </c>
    </row>
    <row r="119" spans="1:3" s="203" customFormat="1">
      <c r="A119" s="246" t="s">
        <v>2198</v>
      </c>
      <c r="B119" s="245" t="s">
        <v>2199</v>
      </c>
    </row>
    <row r="120" spans="1:3" s="203" customFormat="1">
      <c r="A120" s="246" t="s">
        <v>2200</v>
      </c>
      <c r="B120" s="245" t="s">
        <v>2201</v>
      </c>
    </row>
    <row r="121" spans="1:3" s="203" customFormat="1">
      <c r="A121" s="246" t="s">
        <v>2202</v>
      </c>
      <c r="B121" s="245" t="s">
        <v>2203</v>
      </c>
    </row>
    <row r="122" spans="1:3" s="203" customFormat="1">
      <c r="A122" s="246" t="s">
        <v>2204</v>
      </c>
      <c r="B122" s="245" t="s">
        <v>2205</v>
      </c>
    </row>
    <row r="123" spans="1:3" s="203" customFormat="1">
      <c r="A123" s="246" t="s">
        <v>2206</v>
      </c>
      <c r="B123" s="245" t="s">
        <v>2207</v>
      </c>
    </row>
    <row r="124" spans="1:3" s="203" customFormat="1">
      <c r="A124" s="246" t="s">
        <v>2208</v>
      </c>
      <c r="B124" s="245" t="s">
        <v>2209</v>
      </c>
    </row>
    <row r="125" spans="1:3" s="203" customFormat="1">
      <c r="A125" s="246" t="s">
        <v>2210</v>
      </c>
      <c r="B125" s="245" t="s">
        <v>2211</v>
      </c>
    </row>
    <row r="126" spans="1:3" s="203" customFormat="1">
      <c r="A126" s="246" t="s">
        <v>2218</v>
      </c>
      <c r="B126" s="245" t="s">
        <v>2219</v>
      </c>
    </row>
    <row r="127" spans="1:3" s="203" customFormat="1">
      <c r="A127" s="246" t="s">
        <v>2220</v>
      </c>
      <c r="B127" s="245" t="s">
        <v>2221</v>
      </c>
    </row>
    <row r="128" spans="1:3" s="203" customFormat="1" ht="25.5">
      <c r="A128" s="246" t="s">
        <v>2222</v>
      </c>
      <c r="B128" s="245" t="s">
        <v>2223</v>
      </c>
    </row>
    <row r="129" spans="1:3" s="203" customFormat="1">
      <c r="A129" s="246" t="s">
        <v>2230</v>
      </c>
      <c r="B129" s="245" t="s">
        <v>2231</v>
      </c>
    </row>
    <row r="130" spans="1:3" s="203" customFormat="1">
      <c r="A130" s="246" t="s">
        <v>2232</v>
      </c>
      <c r="B130" s="245" t="s">
        <v>2233</v>
      </c>
    </row>
    <row r="131" spans="1:3" s="203" customFormat="1">
      <c r="A131" s="246" t="s">
        <v>2236</v>
      </c>
      <c r="B131" s="245" t="s">
        <v>2237</v>
      </c>
    </row>
    <row r="132" spans="1:3" s="203" customFormat="1">
      <c r="A132" s="246" t="s">
        <v>1855</v>
      </c>
      <c r="B132" s="245" t="s">
        <v>1856</v>
      </c>
    </row>
    <row r="133" spans="1:3" s="203" customFormat="1">
      <c r="A133" s="246" t="s">
        <v>2238</v>
      </c>
      <c r="B133" s="245" t="s">
        <v>2213</v>
      </c>
    </row>
    <row r="134" spans="1:3" s="203" customFormat="1" ht="25.5">
      <c r="A134" s="246" t="s">
        <v>2239</v>
      </c>
      <c r="B134" s="245" t="s">
        <v>2240</v>
      </c>
    </row>
    <row r="135" spans="1:3" s="258" customFormat="1">
      <c r="A135" s="256" t="s">
        <v>1081</v>
      </c>
      <c r="B135" s="257" t="s">
        <v>1139</v>
      </c>
      <c r="C135" s="258" t="s">
        <v>3497</v>
      </c>
    </row>
    <row r="136" spans="1:3">
      <c r="A136" s="244" t="s">
        <v>48</v>
      </c>
      <c r="B136" s="243" t="s">
        <v>49</v>
      </c>
    </row>
    <row r="137" spans="1:3" s="203" customFormat="1">
      <c r="A137" s="246" t="s">
        <v>52</v>
      </c>
      <c r="B137" s="245" t="s">
        <v>53</v>
      </c>
    </row>
    <row r="138" spans="1:3" s="203" customFormat="1">
      <c r="A138" s="246" t="s">
        <v>62</v>
      </c>
      <c r="B138" s="245" t="s">
        <v>63</v>
      </c>
    </row>
    <row r="139" spans="1:3" s="210" customFormat="1">
      <c r="A139" s="260" t="s">
        <v>65</v>
      </c>
      <c r="B139" s="261" t="s">
        <v>66</v>
      </c>
    </row>
    <row r="140" spans="1:3" s="203" customFormat="1">
      <c r="A140" s="246" t="s">
        <v>67</v>
      </c>
      <c r="B140" s="245" t="s">
        <v>68</v>
      </c>
    </row>
    <row r="141" spans="1:3" s="203" customFormat="1">
      <c r="A141" s="246" t="s">
        <v>777</v>
      </c>
      <c r="B141" s="245" t="s">
        <v>778</v>
      </c>
    </row>
    <row r="142" spans="1:3" s="203" customFormat="1">
      <c r="A142" s="246" t="s">
        <v>72</v>
      </c>
      <c r="B142" s="245" t="s">
        <v>73</v>
      </c>
    </row>
    <row r="143" spans="1:3" s="203" customFormat="1">
      <c r="A143" s="246" t="s">
        <v>74</v>
      </c>
      <c r="B143" s="245" t="s">
        <v>75</v>
      </c>
    </row>
    <row r="144" spans="1:3" s="203" customFormat="1">
      <c r="A144" s="246" t="s">
        <v>76</v>
      </c>
      <c r="B144" s="245" t="s">
        <v>77</v>
      </c>
    </row>
    <row r="145" spans="1:3" s="203" customFormat="1">
      <c r="A145" s="246" t="s">
        <v>79</v>
      </c>
      <c r="B145" s="245" t="s">
        <v>80</v>
      </c>
    </row>
    <row r="146" spans="1:3" s="203" customFormat="1">
      <c r="A146" s="246" t="s">
        <v>781</v>
      </c>
      <c r="B146" s="245" t="s">
        <v>782</v>
      </c>
    </row>
    <row r="147" spans="1:3" s="203" customFormat="1">
      <c r="A147" s="246" t="s">
        <v>2086</v>
      </c>
      <c r="B147" s="245" t="s">
        <v>1058</v>
      </c>
    </row>
    <row r="148" spans="1:3" s="203" customFormat="1">
      <c r="A148" s="246" t="s">
        <v>1059</v>
      </c>
      <c r="B148" s="245" t="s">
        <v>1060</v>
      </c>
    </row>
    <row r="149" spans="1:3" s="203" customFormat="1">
      <c r="A149" s="246" t="s">
        <v>783</v>
      </c>
      <c r="B149" s="245" t="s">
        <v>784</v>
      </c>
    </row>
    <row r="150" spans="1:3" s="203" customFormat="1">
      <c r="A150" s="246" t="s">
        <v>775</v>
      </c>
      <c r="B150" s="245" t="s">
        <v>776</v>
      </c>
    </row>
    <row r="151" spans="1:3" s="264" customFormat="1">
      <c r="A151" s="262" t="s">
        <v>96</v>
      </c>
      <c r="B151" s="263" t="s">
        <v>1944</v>
      </c>
      <c r="C151" s="264" t="s">
        <v>3497</v>
      </c>
    </row>
    <row r="152" spans="1:3" s="258" customFormat="1">
      <c r="A152" s="256" t="s">
        <v>121</v>
      </c>
      <c r="B152" s="257" t="s">
        <v>1945</v>
      </c>
      <c r="C152" s="258" t="s">
        <v>3497</v>
      </c>
    </row>
    <row r="153" spans="1:3" s="258" customFormat="1">
      <c r="A153" s="256" t="s">
        <v>2123</v>
      </c>
      <c r="B153" s="257" t="s">
        <v>2124</v>
      </c>
      <c r="C153" s="258" t="s">
        <v>3497</v>
      </c>
    </row>
    <row r="154" spans="1:3" s="258" customFormat="1">
      <c r="A154" s="256" t="s">
        <v>128</v>
      </c>
      <c r="B154" s="257" t="s">
        <v>1946</v>
      </c>
      <c r="C154" s="258" t="s">
        <v>3497</v>
      </c>
    </row>
    <row r="155" spans="1:3" s="258" customFormat="1">
      <c r="A155" s="256" t="s">
        <v>134</v>
      </c>
      <c r="B155" s="257" t="s">
        <v>1947</v>
      </c>
      <c r="C155" s="258" t="s">
        <v>3497</v>
      </c>
    </row>
    <row r="156" spans="1:3" s="258" customFormat="1">
      <c r="A156" s="256" t="s">
        <v>136</v>
      </c>
      <c r="B156" s="257" t="s">
        <v>1948</v>
      </c>
      <c r="C156" s="258" t="s">
        <v>3497</v>
      </c>
    </row>
    <row r="157" spans="1:3" s="258" customFormat="1">
      <c r="A157" s="256" t="s">
        <v>138</v>
      </c>
      <c r="B157" s="257" t="s">
        <v>2125</v>
      </c>
      <c r="C157" s="258" t="s">
        <v>3497</v>
      </c>
    </row>
    <row r="158" spans="1:3" s="258" customFormat="1">
      <c r="A158" s="256" t="s">
        <v>142</v>
      </c>
      <c r="B158" s="257" t="s">
        <v>2126</v>
      </c>
      <c r="C158" s="258" t="s">
        <v>3497</v>
      </c>
    </row>
    <row r="159" spans="1:3" s="203" customFormat="1">
      <c r="A159" s="246" t="s">
        <v>1857</v>
      </c>
      <c r="B159" s="245" t="s">
        <v>1858</v>
      </c>
    </row>
    <row r="160" spans="1:3" s="203" customFormat="1">
      <c r="A160" s="246" t="s">
        <v>146</v>
      </c>
      <c r="B160" s="245" t="s">
        <v>147</v>
      </c>
    </row>
    <row r="161" spans="1:3" s="258" customFormat="1">
      <c r="A161" s="256" t="s">
        <v>148</v>
      </c>
      <c r="B161" s="257" t="s">
        <v>1949</v>
      </c>
      <c r="C161" s="258" t="s">
        <v>3497</v>
      </c>
    </row>
    <row r="162" spans="1:3" s="203" customFormat="1">
      <c r="A162" s="246" t="s">
        <v>149</v>
      </c>
      <c r="B162" s="245" t="s">
        <v>1384</v>
      </c>
    </row>
    <row r="163" spans="1:3" s="203" customFormat="1">
      <c r="A163" s="246" t="s">
        <v>178</v>
      </c>
      <c r="B163" s="245" t="s">
        <v>1385</v>
      </c>
    </row>
    <row r="164" spans="1:3" s="203" customFormat="1">
      <c r="A164" s="246" t="s">
        <v>181</v>
      </c>
      <c r="B164" s="245" t="s">
        <v>1386</v>
      </c>
    </row>
    <row r="165" spans="1:3" s="203" customFormat="1">
      <c r="A165" s="246" t="s">
        <v>184</v>
      </c>
      <c r="B165" s="245" t="s">
        <v>1387</v>
      </c>
    </row>
    <row r="166" spans="1:3" s="203" customFormat="1">
      <c r="A166" s="246" t="s">
        <v>188</v>
      </c>
      <c r="B166" s="245" t="s">
        <v>1388</v>
      </c>
    </row>
    <row r="167" spans="1:3" s="203" customFormat="1">
      <c r="A167" s="246" t="s">
        <v>189</v>
      </c>
      <c r="B167" s="245" t="s">
        <v>1389</v>
      </c>
    </row>
    <row r="168" spans="1:3" s="203" customFormat="1">
      <c r="A168" s="246" t="s">
        <v>191</v>
      </c>
      <c r="B168" s="245" t="s">
        <v>1390</v>
      </c>
    </row>
    <row r="169" spans="1:3" s="203" customFormat="1">
      <c r="A169" s="246" t="s">
        <v>197</v>
      </c>
      <c r="B169" s="245" t="s">
        <v>1391</v>
      </c>
    </row>
    <row r="170" spans="1:3" s="203" customFormat="1">
      <c r="A170" s="246" t="s">
        <v>198</v>
      </c>
      <c r="B170" s="245" t="s">
        <v>1392</v>
      </c>
    </row>
    <row r="171" spans="1:3" s="203" customFormat="1">
      <c r="A171" s="246" t="s">
        <v>2127</v>
      </c>
      <c r="B171" s="245" t="s">
        <v>2128</v>
      </c>
    </row>
    <row r="172" spans="1:3" s="203" customFormat="1">
      <c r="A172" s="246" t="s">
        <v>773</v>
      </c>
      <c r="B172" s="245" t="s">
        <v>774</v>
      </c>
    </row>
    <row r="173" spans="1:3" s="203" customFormat="1">
      <c r="A173" s="246" t="s">
        <v>1859</v>
      </c>
      <c r="B173" s="245" t="s">
        <v>2129</v>
      </c>
    </row>
    <row r="174" spans="1:3" s="258" customFormat="1">
      <c r="A174" s="256" t="s">
        <v>1951</v>
      </c>
      <c r="B174" s="257" t="s">
        <v>2130</v>
      </c>
      <c r="C174" s="258" t="s">
        <v>3497</v>
      </c>
    </row>
    <row r="175" spans="1:3" s="203" customFormat="1">
      <c r="A175" s="246" t="s">
        <v>2131</v>
      </c>
      <c r="B175" s="245" t="s">
        <v>2132</v>
      </c>
    </row>
    <row r="176" spans="1:3" s="203" customFormat="1">
      <c r="A176" s="246" t="s">
        <v>2133</v>
      </c>
      <c r="B176" s="245" t="s">
        <v>2134</v>
      </c>
    </row>
    <row r="177" spans="1:3" s="203" customFormat="1">
      <c r="A177" s="246" t="s">
        <v>779</v>
      </c>
      <c r="B177" s="245" t="s">
        <v>780</v>
      </c>
    </row>
    <row r="178" spans="1:3" s="258" customFormat="1">
      <c r="A178" s="256" t="s">
        <v>258</v>
      </c>
      <c r="B178" s="257" t="s">
        <v>1854</v>
      </c>
      <c r="C178" s="258" t="s">
        <v>3497</v>
      </c>
    </row>
    <row r="179" spans="1:3" s="258" customFormat="1">
      <c r="A179" s="256" t="s">
        <v>786</v>
      </c>
      <c r="B179" s="257" t="s">
        <v>787</v>
      </c>
      <c r="C179" s="258" t="s">
        <v>3497</v>
      </c>
    </row>
    <row r="180" spans="1:3" s="258" customFormat="1">
      <c r="A180" s="256" t="s">
        <v>788</v>
      </c>
      <c r="B180" s="257" t="s">
        <v>789</v>
      </c>
      <c r="C180" s="258" t="s">
        <v>3497</v>
      </c>
    </row>
    <row r="181" spans="1:3" s="203" customFormat="1">
      <c r="A181" s="246" t="s">
        <v>2224</v>
      </c>
      <c r="B181" s="245" t="s">
        <v>2213</v>
      </c>
    </row>
    <row r="182" spans="1:3" s="203" customFormat="1">
      <c r="A182" s="246" t="s">
        <v>2225</v>
      </c>
      <c r="B182" s="245" t="s">
        <v>2215</v>
      </c>
    </row>
    <row r="183" spans="1:3" s="203" customFormat="1">
      <c r="A183" s="246" t="s">
        <v>2226</v>
      </c>
      <c r="B183" s="245" t="s">
        <v>2227</v>
      </c>
    </row>
    <row r="184" spans="1:3" s="203" customFormat="1">
      <c r="A184" s="246" t="s">
        <v>2228</v>
      </c>
      <c r="B184" s="245" t="s">
        <v>2229</v>
      </c>
    </row>
    <row r="185" spans="1:3">
      <c r="A185" s="244" t="s">
        <v>631</v>
      </c>
      <c r="B185" s="243" t="s">
        <v>1061</v>
      </c>
    </row>
    <row r="186" spans="1:3" s="203" customFormat="1">
      <c r="A186" s="246" t="s">
        <v>790</v>
      </c>
      <c r="B186" s="245" t="s">
        <v>791</v>
      </c>
    </row>
    <row r="187" spans="1:3" s="203" customFormat="1">
      <c r="A187" s="246" t="s">
        <v>792</v>
      </c>
      <c r="B187" s="245" t="s">
        <v>793</v>
      </c>
    </row>
    <row r="188" spans="1:3" s="203" customFormat="1">
      <c r="A188" s="246" t="s">
        <v>1062</v>
      </c>
      <c r="B188" s="245" t="s">
        <v>1063</v>
      </c>
    </row>
    <row r="189" spans="1:3" s="203" customFormat="1">
      <c r="A189" s="246" t="s">
        <v>794</v>
      </c>
      <c r="B189" s="245" t="s">
        <v>795</v>
      </c>
    </row>
    <row r="190" spans="1:3" s="203" customFormat="1">
      <c r="A190" s="246" t="s">
        <v>1064</v>
      </c>
      <c r="B190" s="245" t="s">
        <v>1058</v>
      </c>
    </row>
    <row r="191" spans="1:3" s="203" customFormat="1">
      <c r="A191" s="246" t="s">
        <v>796</v>
      </c>
      <c r="B191" s="245" t="s">
        <v>1950</v>
      </c>
    </row>
    <row r="192" spans="1:3" s="203" customFormat="1">
      <c r="A192" s="246" t="s">
        <v>797</v>
      </c>
      <c r="B192" s="245" t="s">
        <v>1393</v>
      </c>
    </row>
    <row r="193" spans="1:3" s="203" customFormat="1">
      <c r="A193" s="246" t="s">
        <v>798</v>
      </c>
      <c r="B193" s="245" t="s">
        <v>799</v>
      </c>
    </row>
    <row r="194" spans="1:3" s="203" customFormat="1">
      <c r="A194" s="246" t="s">
        <v>2099</v>
      </c>
      <c r="B194" s="245" t="s">
        <v>2100</v>
      </c>
    </row>
    <row r="195" spans="1:3" s="258" customFormat="1">
      <c r="A195" s="256" t="s">
        <v>800</v>
      </c>
      <c r="B195" s="257" t="s">
        <v>785</v>
      </c>
      <c r="C195" s="258" t="s">
        <v>3497</v>
      </c>
    </row>
    <row r="196" spans="1:3" s="203" customFormat="1">
      <c r="A196" s="246" t="s">
        <v>2212</v>
      </c>
      <c r="B196" s="245" t="s">
        <v>2213</v>
      </c>
    </row>
    <row r="197" spans="1:3" s="203" customFormat="1">
      <c r="A197" s="246" t="s">
        <v>2214</v>
      </c>
      <c r="B197" s="245" t="s">
        <v>2215</v>
      </c>
    </row>
    <row r="198" spans="1:3" s="203" customFormat="1">
      <c r="A198" s="246" t="s">
        <v>2216</v>
      </c>
      <c r="B198" s="245" t="s">
        <v>2217</v>
      </c>
    </row>
    <row r="199" spans="1:3">
      <c r="A199" s="244" t="s">
        <v>1093</v>
      </c>
      <c r="B199" s="243" t="s">
        <v>1094</v>
      </c>
    </row>
    <row r="200" spans="1:3" s="203" customFormat="1">
      <c r="A200" s="246" t="s">
        <v>1095</v>
      </c>
      <c r="B200" s="245" t="s">
        <v>1096</v>
      </c>
    </row>
    <row r="201" spans="1:3" s="203" customFormat="1">
      <c r="A201" s="246" t="s">
        <v>1097</v>
      </c>
      <c r="B201" s="245" t="s">
        <v>1098</v>
      </c>
    </row>
    <row r="202" spans="1:3">
      <c r="A202" s="244" t="s">
        <v>1099</v>
      </c>
      <c r="B202" s="243" t="s">
        <v>1100</v>
      </c>
    </row>
    <row r="203" spans="1:3" s="203" customFormat="1">
      <c r="A203" s="246" t="s">
        <v>1101</v>
      </c>
      <c r="B203" s="245" t="s">
        <v>1102</v>
      </c>
    </row>
    <row r="204" spans="1:3" s="203" customFormat="1">
      <c r="A204" s="246" t="s">
        <v>1103</v>
      </c>
      <c r="B204" s="245" t="s">
        <v>1104</v>
      </c>
    </row>
    <row r="205" spans="1:3" s="203" customFormat="1">
      <c r="A205" s="246" t="s">
        <v>1105</v>
      </c>
      <c r="B205" s="245" t="s">
        <v>1394</v>
      </c>
    </row>
    <row r="206" spans="1:3" s="203" customFormat="1">
      <c r="A206" s="246" t="s">
        <v>1106</v>
      </c>
      <c r="B206" s="245" t="s">
        <v>1107</v>
      </c>
    </row>
    <row r="207" spans="1:3">
      <c r="A207" s="244" t="s">
        <v>1108</v>
      </c>
      <c r="B207" s="243" t="s">
        <v>1109</v>
      </c>
    </row>
    <row r="208" spans="1:3" s="203" customFormat="1">
      <c r="A208" s="246" t="s">
        <v>1110</v>
      </c>
      <c r="B208" s="245" t="s">
        <v>1111</v>
      </c>
    </row>
    <row r="209" spans="1:3" s="203" customFormat="1">
      <c r="A209" s="246" t="s">
        <v>1112</v>
      </c>
      <c r="B209" s="245" t="s">
        <v>1113</v>
      </c>
    </row>
    <row r="210" spans="1:3" s="203" customFormat="1">
      <c r="A210" s="246" t="s">
        <v>1114</v>
      </c>
      <c r="B210" s="245" t="s">
        <v>1115</v>
      </c>
    </row>
    <row r="211" spans="1:3" s="203" customFormat="1" ht="25.5">
      <c r="A211" s="246" t="s">
        <v>1116</v>
      </c>
      <c r="B211" s="245" t="s">
        <v>1117</v>
      </c>
    </row>
    <row r="212" spans="1:3" s="203" customFormat="1">
      <c r="A212" s="246" t="s">
        <v>1118</v>
      </c>
      <c r="B212" s="245" t="s">
        <v>1119</v>
      </c>
    </row>
    <row r="213" spans="1:3" s="203" customFormat="1">
      <c r="A213" s="246" t="s">
        <v>1120</v>
      </c>
      <c r="B213" s="245" t="s">
        <v>1121</v>
      </c>
    </row>
    <row r="214" spans="1:3" s="203" customFormat="1">
      <c r="A214" s="246" t="s">
        <v>1122</v>
      </c>
      <c r="B214" s="245" t="s">
        <v>1123</v>
      </c>
    </row>
    <row r="215" spans="1:3" s="203" customFormat="1" ht="30" customHeight="1">
      <c r="A215" s="246" t="s">
        <v>1124</v>
      </c>
      <c r="B215" s="245" t="s">
        <v>1125</v>
      </c>
    </row>
    <row r="216" spans="1:3" s="203" customFormat="1">
      <c r="A216" s="246" t="s">
        <v>1126</v>
      </c>
      <c r="B216" s="245" t="s">
        <v>1127</v>
      </c>
    </row>
    <row r="217" spans="1:3" s="203" customFormat="1" ht="25.5">
      <c r="A217" s="246" t="s">
        <v>1128</v>
      </c>
      <c r="B217" s="245" t="s">
        <v>1129</v>
      </c>
    </row>
    <row r="218" spans="1:3" s="203" customFormat="1">
      <c r="A218" s="246" t="s">
        <v>1130</v>
      </c>
      <c r="B218" s="245" t="s">
        <v>1131</v>
      </c>
    </row>
    <row r="219" spans="1:3" s="203" customFormat="1">
      <c r="A219" s="246" t="s">
        <v>1860</v>
      </c>
      <c r="B219" s="245" t="s">
        <v>1861</v>
      </c>
    </row>
    <row r="220" spans="1:3" s="203" customFormat="1">
      <c r="A220" s="246" t="s">
        <v>1132</v>
      </c>
      <c r="B220" s="245" t="s">
        <v>1133</v>
      </c>
    </row>
    <row r="221" spans="1:3" s="203" customFormat="1">
      <c r="A221" s="246" t="s">
        <v>1134</v>
      </c>
      <c r="B221" s="245" t="s">
        <v>1135</v>
      </c>
    </row>
    <row r="222" spans="1:3" s="258" customFormat="1">
      <c r="A222" s="256" t="s">
        <v>1136</v>
      </c>
      <c r="B222" s="257" t="s">
        <v>1137</v>
      </c>
      <c r="C222" s="258" t="s">
        <v>3497</v>
      </c>
    </row>
    <row r="223" spans="1:3" s="258" customFormat="1">
      <c r="A223" s="256" t="s">
        <v>1138</v>
      </c>
      <c r="B223" s="257" t="s">
        <v>1139</v>
      </c>
      <c r="C223" s="258" t="s">
        <v>3497</v>
      </c>
    </row>
    <row r="224" spans="1:3">
      <c r="A224" s="244" t="s">
        <v>1140</v>
      </c>
      <c r="B224" s="243" t="s">
        <v>1141</v>
      </c>
    </row>
    <row r="225" spans="1:3" s="203" customFormat="1">
      <c r="A225" s="246" t="s">
        <v>1142</v>
      </c>
      <c r="B225" s="245" t="s">
        <v>1143</v>
      </c>
    </row>
    <row r="226" spans="1:3" s="203" customFormat="1">
      <c r="A226" s="246" t="s">
        <v>1144</v>
      </c>
      <c r="B226" s="245" t="s">
        <v>1396</v>
      </c>
    </row>
    <row r="227" spans="1:3">
      <c r="A227" s="244" t="s">
        <v>1145</v>
      </c>
      <c r="B227" s="243" t="s">
        <v>1146</v>
      </c>
    </row>
    <row r="228" spans="1:3" s="203" customFormat="1">
      <c r="A228" s="246" t="s">
        <v>1147</v>
      </c>
      <c r="B228" s="245" t="s">
        <v>1148</v>
      </c>
    </row>
    <row r="229" spans="1:3" s="203" customFormat="1">
      <c r="A229" s="246" t="s">
        <v>1149</v>
      </c>
      <c r="B229" s="245" t="s">
        <v>1395</v>
      </c>
    </row>
    <row r="230" spans="1:3" s="203" customFormat="1">
      <c r="A230" s="246" t="s">
        <v>1150</v>
      </c>
      <c r="B230" s="245" t="s">
        <v>1151</v>
      </c>
    </row>
    <row r="231" spans="1:3" s="203" customFormat="1">
      <c r="A231" s="246" t="s">
        <v>1152</v>
      </c>
      <c r="B231" s="245" t="s">
        <v>1397</v>
      </c>
    </row>
    <row r="232" spans="1:3" s="258" customFormat="1">
      <c r="A232" s="256" t="s">
        <v>1153</v>
      </c>
      <c r="B232" s="257" t="s">
        <v>1154</v>
      </c>
      <c r="C232" s="258" t="s">
        <v>3497</v>
      </c>
    </row>
    <row r="233" spans="1:3">
      <c r="A233" s="244" t="s">
        <v>1155</v>
      </c>
      <c r="B233" s="243" t="s">
        <v>1156</v>
      </c>
    </row>
    <row r="234" spans="1:3" s="203" customFormat="1" ht="25.5">
      <c r="A234" s="246" t="s">
        <v>1157</v>
      </c>
      <c r="B234" s="245" t="s">
        <v>1158</v>
      </c>
    </row>
    <row r="235" spans="1:3" s="203" customFormat="1">
      <c r="A235" s="246" t="s">
        <v>1159</v>
      </c>
      <c r="B235" s="245" t="s">
        <v>1160</v>
      </c>
    </row>
    <row r="236" spans="1:3" s="203" customFormat="1">
      <c r="A236" s="246" t="s">
        <v>1161</v>
      </c>
      <c r="B236" s="245" t="s">
        <v>1162</v>
      </c>
    </row>
    <row r="237" spans="1:3" s="203" customFormat="1">
      <c r="A237" s="246" t="s">
        <v>1163</v>
      </c>
      <c r="B237" s="245" t="s">
        <v>1164</v>
      </c>
    </row>
    <row r="238" spans="1:3" s="203" customFormat="1">
      <c r="A238" s="246" t="s">
        <v>1862</v>
      </c>
      <c r="B238" s="245" t="s">
        <v>1863</v>
      </c>
    </row>
    <row r="239" spans="1:3" s="203" customFormat="1">
      <c r="A239" s="246" t="s">
        <v>1165</v>
      </c>
      <c r="B239" s="245" t="s">
        <v>1166</v>
      </c>
    </row>
    <row r="240" spans="1:3" s="203" customFormat="1">
      <c r="A240" s="246" t="s">
        <v>2234</v>
      </c>
      <c r="B240" s="245" t="s">
        <v>2235</v>
      </c>
    </row>
    <row r="241" spans="1:2" s="203" customFormat="1">
      <c r="A241" s="246" t="s">
        <v>1864</v>
      </c>
      <c r="B241" s="245" t="s">
        <v>787</v>
      </c>
    </row>
    <row r="242" spans="1:2">
      <c r="A242" s="244" t="s">
        <v>1167</v>
      </c>
      <c r="B242" s="243" t="s">
        <v>1168</v>
      </c>
    </row>
    <row r="243" spans="1:2" s="203" customFormat="1">
      <c r="A243" s="246" t="s">
        <v>1169</v>
      </c>
      <c r="B243" s="245" t="s">
        <v>1170</v>
      </c>
    </row>
    <row r="244" spans="1:2" s="203" customFormat="1">
      <c r="A244" s="246" t="s">
        <v>1171</v>
      </c>
      <c r="B244" s="245" t="s">
        <v>1172</v>
      </c>
    </row>
    <row r="245" spans="1:2" s="203" customFormat="1">
      <c r="A245" s="246" t="s">
        <v>1173</v>
      </c>
      <c r="B245" s="245" t="s">
        <v>1174</v>
      </c>
    </row>
    <row r="246" spans="1:2" s="203" customFormat="1">
      <c r="A246" s="246" t="s">
        <v>1175</v>
      </c>
      <c r="B246" s="245" t="s">
        <v>1176</v>
      </c>
    </row>
    <row r="247" spans="1:2" s="203" customFormat="1">
      <c r="A247" s="246" t="s">
        <v>1177</v>
      </c>
      <c r="B247" s="245" t="s">
        <v>1178</v>
      </c>
    </row>
    <row r="248" spans="1:2" s="203" customFormat="1">
      <c r="A248" s="246" t="s">
        <v>1179</v>
      </c>
      <c r="B248" s="245" t="s">
        <v>1180</v>
      </c>
    </row>
    <row r="249" spans="1:2" s="203" customFormat="1">
      <c r="A249" s="246" t="s">
        <v>1181</v>
      </c>
      <c r="B249" s="245" t="s">
        <v>1182</v>
      </c>
    </row>
    <row r="250" spans="1:2" s="203" customFormat="1">
      <c r="A250" s="246" t="s">
        <v>1183</v>
      </c>
      <c r="B250" s="245" t="s">
        <v>1184</v>
      </c>
    </row>
    <row r="251" spans="1:2" s="203" customFormat="1">
      <c r="A251" s="246" t="s">
        <v>1185</v>
      </c>
      <c r="B251" s="245" t="s">
        <v>1186</v>
      </c>
    </row>
    <row r="252" spans="1:2" s="203" customFormat="1">
      <c r="A252" s="246" t="s">
        <v>1187</v>
      </c>
      <c r="B252" s="245" t="s">
        <v>1188</v>
      </c>
    </row>
    <row r="253" spans="1:2" s="203" customFormat="1" ht="30" customHeight="1">
      <c r="A253" s="246" t="s">
        <v>1189</v>
      </c>
      <c r="B253" s="245" t="s">
        <v>1190</v>
      </c>
    </row>
    <row r="254" spans="1:2" s="203" customFormat="1" ht="25.5">
      <c r="A254" s="246" t="s">
        <v>1191</v>
      </c>
      <c r="B254" s="245" t="s">
        <v>1192</v>
      </c>
    </row>
    <row r="255" spans="1:2" s="203" customFormat="1">
      <c r="A255" s="246" t="s">
        <v>1193</v>
      </c>
      <c r="B255" s="245" t="s">
        <v>1194</v>
      </c>
    </row>
    <row r="256" spans="1:2" s="203" customFormat="1">
      <c r="A256" s="246" t="s">
        <v>1195</v>
      </c>
      <c r="B256" s="245" t="s">
        <v>1196</v>
      </c>
    </row>
    <row r="257" spans="1:2" s="203" customFormat="1" ht="25.5">
      <c r="A257" s="246" t="s">
        <v>1865</v>
      </c>
      <c r="B257" s="245" t="s">
        <v>1866</v>
      </c>
    </row>
    <row r="258" spans="1:2" s="203" customFormat="1">
      <c r="A258" s="246" t="s">
        <v>2186</v>
      </c>
      <c r="B258" s="245" t="s">
        <v>2187</v>
      </c>
    </row>
    <row r="259" spans="1:2" s="203" customFormat="1">
      <c r="A259" s="246" t="s">
        <v>2188</v>
      </c>
      <c r="B259" s="245" t="s">
        <v>2189</v>
      </c>
    </row>
    <row r="260" spans="1:2" s="203" customFormat="1">
      <c r="A260" s="246" t="s">
        <v>1197</v>
      </c>
      <c r="B260" s="245" t="s">
        <v>1198</v>
      </c>
    </row>
    <row r="261" spans="1:2" s="203" customFormat="1">
      <c r="A261" s="246" t="s">
        <v>1199</v>
      </c>
      <c r="B261" s="245" t="s">
        <v>1200</v>
      </c>
    </row>
    <row r="262" spans="1:2" s="203" customFormat="1">
      <c r="A262" s="246" t="s">
        <v>1201</v>
      </c>
      <c r="B262" s="245" t="s">
        <v>787</v>
      </c>
    </row>
    <row r="263" spans="1:2" s="203" customFormat="1">
      <c r="A263" s="246" t="s">
        <v>1202</v>
      </c>
      <c r="B263" s="245" t="s">
        <v>1203</v>
      </c>
    </row>
    <row r="264" spans="1:2">
      <c r="A264" s="244" t="s">
        <v>1204</v>
      </c>
      <c r="B264" s="243" t="s">
        <v>1205</v>
      </c>
    </row>
    <row r="265" spans="1:2" s="203" customFormat="1">
      <c r="A265" s="246" t="s">
        <v>1206</v>
      </c>
      <c r="B265" s="245" t="s">
        <v>1207</v>
      </c>
    </row>
    <row r="266" spans="1:2" s="203" customFormat="1">
      <c r="A266" s="246" t="s">
        <v>1208</v>
      </c>
      <c r="B266" s="245" t="s">
        <v>1867</v>
      </c>
    </row>
    <row r="267" spans="1:2" s="203" customFormat="1">
      <c r="A267" s="246" t="s">
        <v>1209</v>
      </c>
      <c r="B267" s="245" t="s">
        <v>1210</v>
      </c>
    </row>
    <row r="268" spans="1:2" s="203" customFormat="1">
      <c r="A268" s="246" t="s">
        <v>1211</v>
      </c>
      <c r="B268" s="245" t="s">
        <v>1212</v>
      </c>
    </row>
    <row r="269" spans="1:2" s="203" customFormat="1">
      <c r="A269" s="246" t="s">
        <v>2241</v>
      </c>
      <c r="B269" s="245" t="s">
        <v>2242</v>
      </c>
    </row>
    <row r="270" spans="1:2" s="203" customFormat="1">
      <c r="A270" s="246" t="s">
        <v>2243</v>
      </c>
      <c r="B270" s="245" t="s">
        <v>2244</v>
      </c>
    </row>
    <row r="271" spans="1:2">
      <c r="A271" s="244" t="s">
        <v>1213</v>
      </c>
      <c r="B271" s="243" t="s">
        <v>1214</v>
      </c>
    </row>
    <row r="272" spans="1:2" s="203" customFormat="1">
      <c r="A272" s="246" t="s">
        <v>1215</v>
      </c>
      <c r="B272" s="245" t="s">
        <v>1216</v>
      </c>
    </row>
    <row r="273" spans="1:2" s="203" customFormat="1">
      <c r="A273" s="246" t="s">
        <v>1217</v>
      </c>
      <c r="B273" s="245" t="s">
        <v>1218</v>
      </c>
    </row>
    <row r="274" spans="1:2" s="203" customFormat="1">
      <c r="A274" s="246" t="s">
        <v>1219</v>
      </c>
      <c r="B274" s="245" t="s">
        <v>1220</v>
      </c>
    </row>
    <row r="275" spans="1:2" s="203" customFormat="1">
      <c r="A275" s="246" t="s">
        <v>1221</v>
      </c>
      <c r="B275" s="245" t="s">
        <v>1222</v>
      </c>
    </row>
    <row r="276" spans="1:2" s="203" customFormat="1">
      <c r="A276" s="246" t="s">
        <v>1223</v>
      </c>
      <c r="B276" s="245" t="s">
        <v>1224</v>
      </c>
    </row>
    <row r="277" spans="1:2" s="203" customFormat="1">
      <c r="A277" s="246" t="s">
        <v>1225</v>
      </c>
      <c r="B277" s="245" t="s">
        <v>1226</v>
      </c>
    </row>
    <row r="278" spans="1:2" s="203" customFormat="1">
      <c r="A278" s="246" t="s">
        <v>1227</v>
      </c>
      <c r="B278" s="245" t="s">
        <v>1228</v>
      </c>
    </row>
    <row r="279" spans="1:2" s="203" customFormat="1">
      <c r="A279" s="246" t="s">
        <v>1229</v>
      </c>
      <c r="B279" s="245" t="s">
        <v>1230</v>
      </c>
    </row>
    <row r="280" spans="1:2" s="203" customFormat="1">
      <c r="A280" s="246" t="s">
        <v>1231</v>
      </c>
      <c r="B280" s="245" t="s">
        <v>1232</v>
      </c>
    </row>
    <row r="281" spans="1:2" s="203" customFormat="1">
      <c r="A281" s="246" t="s">
        <v>1233</v>
      </c>
      <c r="B281" s="245" t="s">
        <v>1234</v>
      </c>
    </row>
    <row r="282" spans="1:2" s="203" customFormat="1">
      <c r="A282" s="246" t="s">
        <v>1235</v>
      </c>
      <c r="B282" s="245" t="s">
        <v>1868</v>
      </c>
    </row>
    <row r="283" spans="1:2" s="203" customFormat="1">
      <c r="A283" s="246" t="s">
        <v>1236</v>
      </c>
      <c r="B283" s="245" t="s">
        <v>1869</v>
      </c>
    </row>
    <row r="284" spans="1:2" s="203" customFormat="1">
      <c r="A284" s="246" t="s">
        <v>1237</v>
      </c>
      <c r="B284" s="245" t="s">
        <v>1870</v>
      </c>
    </row>
    <row r="285" spans="1:2" s="203" customFormat="1">
      <c r="A285" s="246" t="s">
        <v>1238</v>
      </c>
      <c r="B285" s="245" t="s">
        <v>1239</v>
      </c>
    </row>
    <row r="286" spans="1:2" s="203" customFormat="1">
      <c r="A286" s="246" t="s">
        <v>1240</v>
      </c>
      <c r="B286" s="245" t="s">
        <v>1871</v>
      </c>
    </row>
    <row r="287" spans="1:2" s="203" customFormat="1">
      <c r="A287" s="246" t="s">
        <v>1241</v>
      </c>
      <c r="B287" s="245" t="s">
        <v>1872</v>
      </c>
    </row>
    <row r="288" spans="1:2" s="203" customFormat="1">
      <c r="A288" s="246" t="s">
        <v>1242</v>
      </c>
      <c r="B288" s="245" t="s">
        <v>1243</v>
      </c>
    </row>
    <row r="289" spans="1:2" s="203" customFormat="1">
      <c r="A289" s="246" t="s">
        <v>1244</v>
      </c>
      <c r="B289" s="245" t="s">
        <v>1245</v>
      </c>
    </row>
    <row r="290" spans="1:2" s="203" customFormat="1">
      <c r="A290" s="246" t="s">
        <v>2174</v>
      </c>
      <c r="B290" s="245" t="s">
        <v>2175</v>
      </c>
    </row>
    <row r="291" spans="1:2" s="203" customFormat="1">
      <c r="A291" s="246" t="s">
        <v>2176</v>
      </c>
      <c r="B291" s="245" t="s">
        <v>2177</v>
      </c>
    </row>
    <row r="292" spans="1:2" s="203" customFormat="1">
      <c r="A292" s="246" t="s">
        <v>2178</v>
      </c>
      <c r="B292" s="245" t="s">
        <v>2179</v>
      </c>
    </row>
    <row r="293" spans="1:2">
      <c r="A293" s="244" t="s">
        <v>1246</v>
      </c>
      <c r="B293" s="243" t="s">
        <v>1247</v>
      </c>
    </row>
    <row r="294" spans="1:2" s="203" customFormat="1">
      <c r="A294" s="246" t="s">
        <v>1248</v>
      </c>
      <c r="B294" s="245" t="s">
        <v>1249</v>
      </c>
    </row>
    <row r="295" spans="1:2" s="203" customFormat="1">
      <c r="A295" s="246" t="s">
        <v>1250</v>
      </c>
      <c r="B295" s="245" t="s">
        <v>1251</v>
      </c>
    </row>
    <row r="296" spans="1:2" s="203" customFormat="1">
      <c r="A296" s="246" t="s">
        <v>1252</v>
      </c>
      <c r="B296" s="245" t="s">
        <v>1253</v>
      </c>
    </row>
    <row r="297" spans="1:2" s="203" customFormat="1">
      <c r="A297" s="246" t="s">
        <v>1254</v>
      </c>
      <c r="B297" s="245" t="s">
        <v>1255</v>
      </c>
    </row>
    <row r="298" spans="1:2" s="203" customFormat="1">
      <c r="A298" s="246" t="s">
        <v>1256</v>
      </c>
      <c r="B298" s="245" t="s">
        <v>1257</v>
      </c>
    </row>
    <row r="299" spans="1:2" s="203" customFormat="1">
      <c r="A299" s="246" t="s">
        <v>1258</v>
      </c>
      <c r="B299" s="245" t="s">
        <v>1259</v>
      </c>
    </row>
    <row r="300" spans="1:2" s="203" customFormat="1">
      <c r="A300" s="246" t="s">
        <v>1260</v>
      </c>
      <c r="B300" s="245" t="s">
        <v>1261</v>
      </c>
    </row>
    <row r="301" spans="1:2" s="203" customFormat="1" ht="25.5">
      <c r="A301" s="246" t="s">
        <v>1262</v>
      </c>
      <c r="B301" s="245" t="s">
        <v>1263</v>
      </c>
    </row>
    <row r="302" spans="1:2" s="203" customFormat="1" ht="25.5">
      <c r="A302" s="246" t="s">
        <v>1264</v>
      </c>
      <c r="B302" s="245" t="s">
        <v>1265</v>
      </c>
    </row>
    <row r="303" spans="1:2" s="203" customFormat="1">
      <c r="A303" s="246" t="s">
        <v>1266</v>
      </c>
      <c r="B303" s="245" t="s">
        <v>1267</v>
      </c>
    </row>
    <row r="304" spans="1:2" s="203" customFormat="1">
      <c r="A304" s="246" t="s">
        <v>1268</v>
      </c>
      <c r="B304" s="245" t="s">
        <v>1269</v>
      </c>
    </row>
    <row r="305" spans="1:3" s="203" customFormat="1" ht="25.5">
      <c r="A305" s="246" t="s">
        <v>1270</v>
      </c>
      <c r="B305" s="245" t="s">
        <v>1271</v>
      </c>
    </row>
    <row r="306" spans="1:3" s="203" customFormat="1">
      <c r="A306" s="246" t="s">
        <v>2180</v>
      </c>
      <c r="B306" s="245" t="s">
        <v>2181</v>
      </c>
    </row>
    <row r="307" spans="1:3" s="203" customFormat="1">
      <c r="A307" s="246" t="s">
        <v>2182</v>
      </c>
      <c r="B307" s="245" t="s">
        <v>2183</v>
      </c>
    </row>
    <row r="308" spans="1:3" s="203" customFormat="1" ht="25.5">
      <c r="A308" s="246" t="s">
        <v>2184</v>
      </c>
      <c r="B308" s="245" t="s">
        <v>2185</v>
      </c>
    </row>
    <row r="309" spans="1:3" s="258" customFormat="1">
      <c r="A309" s="256" t="s">
        <v>1272</v>
      </c>
      <c r="B309" s="257" t="s">
        <v>787</v>
      </c>
      <c r="C309" s="258" t="s">
        <v>3497</v>
      </c>
    </row>
    <row r="310" spans="1:3" s="203" customFormat="1">
      <c r="A310" s="246" t="s">
        <v>1273</v>
      </c>
      <c r="B310" s="245" t="s">
        <v>1274</v>
      </c>
      <c r="C310" s="258"/>
    </row>
    <row r="311" spans="1:3">
      <c r="A311"/>
      <c r="B311"/>
    </row>
  </sheetData>
  <autoFilter ref="A1:B31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1042"/>
  <sheetViews>
    <sheetView topLeftCell="A28" workbookViewId="0">
      <selection sqref="A1:XFD1048576"/>
    </sheetView>
  </sheetViews>
  <sheetFormatPr defaultRowHeight="15"/>
  <cols>
    <col min="1" max="1" width="22.5703125" customWidth="1"/>
    <col min="2" max="2" width="131" customWidth="1"/>
  </cols>
  <sheetData>
    <row r="1" spans="1:2">
      <c r="A1" s="204" t="s">
        <v>1275</v>
      </c>
      <c r="B1" s="205"/>
    </row>
    <row r="2" spans="1:2">
      <c r="A2" s="204" t="s">
        <v>801</v>
      </c>
      <c r="B2" s="205"/>
    </row>
    <row r="3" spans="1:2">
      <c r="A3" s="247" t="s">
        <v>1057</v>
      </c>
      <c r="B3" s="251" t="s">
        <v>587</v>
      </c>
    </row>
    <row r="4" spans="1:2">
      <c r="A4" s="248" t="s">
        <v>1065</v>
      </c>
      <c r="B4" s="252" t="s">
        <v>1066</v>
      </c>
    </row>
    <row r="5" spans="1:2">
      <c r="A5" s="249" t="s">
        <v>1090</v>
      </c>
      <c r="B5" s="250" t="s">
        <v>1854</v>
      </c>
    </row>
    <row r="6" spans="1:2">
      <c r="A6" s="254" t="s">
        <v>1313</v>
      </c>
      <c r="B6" s="253" t="s">
        <v>1314</v>
      </c>
    </row>
    <row r="7" spans="1:2">
      <c r="A7" s="254" t="s">
        <v>1315</v>
      </c>
      <c r="B7" s="253" t="s">
        <v>1316</v>
      </c>
    </row>
    <row r="8" spans="1:2">
      <c r="A8" s="254" t="s">
        <v>1317</v>
      </c>
      <c r="B8" s="253" t="s">
        <v>1318</v>
      </c>
    </row>
    <row r="9" spans="1:2">
      <c r="A9" s="254" t="s">
        <v>1319</v>
      </c>
      <c r="B9" s="253" t="s">
        <v>341</v>
      </c>
    </row>
    <row r="10" spans="1:2">
      <c r="A10" s="254" t="s">
        <v>1320</v>
      </c>
      <c r="B10" s="253" t="s">
        <v>1321</v>
      </c>
    </row>
    <row r="11" spans="1:2">
      <c r="A11" s="254" t="s">
        <v>1322</v>
      </c>
      <c r="B11" s="253" t="s">
        <v>1323</v>
      </c>
    </row>
    <row r="12" spans="1:2">
      <c r="A12" s="254" t="s">
        <v>1324</v>
      </c>
      <c r="B12" s="253" t="s">
        <v>1325</v>
      </c>
    </row>
    <row r="13" spans="1:2" ht="15.75" customHeight="1">
      <c r="A13" s="254" t="s">
        <v>1326</v>
      </c>
      <c r="B13" s="253" t="s">
        <v>1327</v>
      </c>
    </row>
    <row r="14" spans="1:2">
      <c r="A14" s="249" t="s">
        <v>1081</v>
      </c>
      <c r="B14" s="250" t="s">
        <v>1139</v>
      </c>
    </row>
    <row r="15" spans="1:2">
      <c r="A15" s="254" t="s">
        <v>1276</v>
      </c>
      <c r="B15" s="253" t="s">
        <v>1277</v>
      </c>
    </row>
    <row r="16" spans="1:2">
      <c r="A16" s="254" t="s">
        <v>1278</v>
      </c>
      <c r="B16" s="253" t="s">
        <v>1279</v>
      </c>
    </row>
    <row r="17" spans="1:2">
      <c r="A17" s="254" t="s">
        <v>1280</v>
      </c>
      <c r="B17" s="253" t="s">
        <v>1281</v>
      </c>
    </row>
    <row r="18" spans="1:2">
      <c r="A18" s="254" t="s">
        <v>1282</v>
      </c>
      <c r="B18" s="253" t="s">
        <v>1283</v>
      </c>
    </row>
    <row r="19" spans="1:2">
      <c r="A19" s="254" t="s">
        <v>1284</v>
      </c>
      <c r="B19" s="253" t="s">
        <v>997</v>
      </c>
    </row>
    <row r="20" spans="1:2">
      <c r="A20" s="254" t="s">
        <v>1285</v>
      </c>
      <c r="B20" s="253" t="s">
        <v>999</v>
      </c>
    </row>
    <row r="21" spans="1:2">
      <c r="A21" s="254" t="s">
        <v>1286</v>
      </c>
      <c r="B21" s="253" t="s">
        <v>1001</v>
      </c>
    </row>
    <row r="22" spans="1:2">
      <c r="A22" s="254" t="s">
        <v>1287</v>
      </c>
      <c r="B22" s="253" t="s">
        <v>1288</v>
      </c>
    </row>
    <row r="23" spans="1:2">
      <c r="A23" s="254" t="s">
        <v>1289</v>
      </c>
      <c r="B23" s="253" t="s">
        <v>1290</v>
      </c>
    </row>
    <row r="24" spans="1:2">
      <c r="A24" s="254" t="s">
        <v>1291</v>
      </c>
      <c r="B24" s="253" t="s">
        <v>1292</v>
      </c>
    </row>
    <row r="25" spans="1:2">
      <c r="A25" s="254" t="s">
        <v>1293</v>
      </c>
      <c r="B25" s="253" t="s">
        <v>1294</v>
      </c>
    </row>
    <row r="26" spans="1:2">
      <c r="A26" s="254" t="s">
        <v>1295</v>
      </c>
      <c r="B26" s="253" t="s">
        <v>1296</v>
      </c>
    </row>
    <row r="27" spans="1:2">
      <c r="A27" s="254" t="s">
        <v>1297</v>
      </c>
      <c r="B27" s="253" t="s">
        <v>1298</v>
      </c>
    </row>
    <row r="28" spans="1:2">
      <c r="A28" s="254" t="s">
        <v>1299</v>
      </c>
      <c r="B28" s="253" t="s">
        <v>1300</v>
      </c>
    </row>
    <row r="29" spans="1:2">
      <c r="A29" s="254" t="s">
        <v>1301</v>
      </c>
      <c r="B29" s="253" t="s">
        <v>1302</v>
      </c>
    </row>
    <row r="30" spans="1:2">
      <c r="A30" s="254" t="s">
        <v>1303</v>
      </c>
      <c r="B30" s="253" t="s">
        <v>1304</v>
      </c>
    </row>
    <row r="31" spans="1:2">
      <c r="A31" s="254" t="s">
        <v>1305</v>
      </c>
      <c r="B31" s="253" t="s">
        <v>1306</v>
      </c>
    </row>
    <row r="32" spans="1:2">
      <c r="A32" s="254" t="s">
        <v>1307</v>
      </c>
      <c r="B32" s="253" t="s">
        <v>1308</v>
      </c>
    </row>
    <row r="33" spans="1:2">
      <c r="A33" s="254" t="s">
        <v>1309</v>
      </c>
      <c r="B33" s="253" t="s">
        <v>1310</v>
      </c>
    </row>
    <row r="34" spans="1:2">
      <c r="A34" s="254" t="s">
        <v>1311</v>
      </c>
      <c r="B34" s="253" t="s">
        <v>1312</v>
      </c>
    </row>
    <row r="35" spans="1:2">
      <c r="A35" s="254" t="s">
        <v>1398</v>
      </c>
      <c r="B35" s="253" t="s">
        <v>1333</v>
      </c>
    </row>
    <row r="36" spans="1:2">
      <c r="A36" s="254" t="s">
        <v>2245</v>
      </c>
      <c r="B36" s="253" t="s">
        <v>2246</v>
      </c>
    </row>
    <row r="37" spans="1:2">
      <c r="A37" s="248" t="s">
        <v>48</v>
      </c>
      <c r="B37" s="252" t="s">
        <v>49</v>
      </c>
    </row>
    <row r="38" spans="1:2">
      <c r="A38" s="249" t="s">
        <v>96</v>
      </c>
      <c r="B38" s="250" t="s">
        <v>1944</v>
      </c>
    </row>
    <row r="39" spans="1:2">
      <c r="A39" s="254" t="s">
        <v>802</v>
      </c>
      <c r="B39" s="253" t="s">
        <v>803</v>
      </c>
    </row>
    <row r="40" spans="1:2">
      <c r="A40" s="254" t="s">
        <v>804</v>
      </c>
      <c r="B40" s="253" t="s">
        <v>805</v>
      </c>
    </row>
    <row r="41" spans="1:2">
      <c r="A41" s="254" t="s">
        <v>806</v>
      </c>
      <c r="B41" s="253" t="s">
        <v>807</v>
      </c>
    </row>
    <row r="42" spans="1:2">
      <c r="A42" s="254" t="s">
        <v>808</v>
      </c>
      <c r="B42" s="253" t="s">
        <v>809</v>
      </c>
    </row>
    <row r="43" spans="1:2">
      <c r="A43" s="254" t="s">
        <v>810</v>
      </c>
      <c r="B43" s="253" t="s">
        <v>811</v>
      </c>
    </row>
    <row r="44" spans="1:2">
      <c r="A44" s="254" t="s">
        <v>812</v>
      </c>
      <c r="B44" s="253" t="s">
        <v>813</v>
      </c>
    </row>
    <row r="45" spans="1:2">
      <c r="A45" s="254" t="s">
        <v>1399</v>
      </c>
      <c r="B45" s="253" t="s">
        <v>1400</v>
      </c>
    </row>
    <row r="46" spans="1:2">
      <c r="A46" s="254" t="s">
        <v>1401</v>
      </c>
      <c r="B46" s="253" t="s">
        <v>1402</v>
      </c>
    </row>
    <row r="47" spans="1:2">
      <c r="A47" s="254" t="s">
        <v>1403</v>
      </c>
      <c r="B47" s="253" t="s">
        <v>1404</v>
      </c>
    </row>
    <row r="48" spans="1:2">
      <c r="A48" s="254" t="s">
        <v>1405</v>
      </c>
      <c r="B48" s="253" t="s">
        <v>1406</v>
      </c>
    </row>
    <row r="49" spans="1:2">
      <c r="A49" s="254" t="s">
        <v>1407</v>
      </c>
      <c r="B49" s="253" t="s">
        <v>1408</v>
      </c>
    </row>
    <row r="50" spans="1:2">
      <c r="A50" s="254" t="s">
        <v>1409</v>
      </c>
      <c r="B50" s="253" t="s">
        <v>1410</v>
      </c>
    </row>
    <row r="51" spans="1:2">
      <c r="A51" s="254" t="s">
        <v>1411</v>
      </c>
      <c r="B51" s="253" t="s">
        <v>1412</v>
      </c>
    </row>
    <row r="52" spans="1:2">
      <c r="A52" s="254" t="s">
        <v>1413</v>
      </c>
      <c r="B52" s="253" t="s">
        <v>1414</v>
      </c>
    </row>
    <row r="53" spans="1:2">
      <c r="A53" s="254" t="s">
        <v>1415</v>
      </c>
      <c r="B53" s="253" t="s">
        <v>1416</v>
      </c>
    </row>
    <row r="54" spans="1:2">
      <c r="A54" s="254" t="s">
        <v>1417</v>
      </c>
      <c r="B54" s="253" t="s">
        <v>1418</v>
      </c>
    </row>
    <row r="55" spans="1:2">
      <c r="A55" s="254" t="s">
        <v>1419</v>
      </c>
      <c r="B55" s="253" t="s">
        <v>1420</v>
      </c>
    </row>
    <row r="56" spans="1:2">
      <c r="A56" s="254" t="s">
        <v>1421</v>
      </c>
      <c r="B56" s="253" t="s">
        <v>1422</v>
      </c>
    </row>
    <row r="57" spans="1:2">
      <c r="A57" s="254" t="s">
        <v>1423</v>
      </c>
      <c r="B57" s="253" t="s">
        <v>1424</v>
      </c>
    </row>
    <row r="58" spans="1:2">
      <c r="A58" s="254" t="s">
        <v>1425</v>
      </c>
      <c r="B58" s="253" t="s">
        <v>1426</v>
      </c>
    </row>
    <row r="59" spans="1:2">
      <c r="A59" s="254" t="s">
        <v>2247</v>
      </c>
      <c r="B59" s="253" t="s">
        <v>2248</v>
      </c>
    </row>
    <row r="60" spans="1:2">
      <c r="A60" s="254" t="s">
        <v>2249</v>
      </c>
      <c r="B60" s="253" t="s">
        <v>2250</v>
      </c>
    </row>
    <row r="61" spans="1:2">
      <c r="A61" s="254" t="s">
        <v>2251</v>
      </c>
      <c r="B61" s="253" t="s">
        <v>2252</v>
      </c>
    </row>
    <row r="62" spans="1:2">
      <c r="A62" s="254" t="s">
        <v>2253</v>
      </c>
      <c r="B62" s="253" t="s">
        <v>2254</v>
      </c>
    </row>
    <row r="63" spans="1:2">
      <c r="A63" s="254" t="s">
        <v>2255</v>
      </c>
      <c r="B63" s="253" t="s">
        <v>2256</v>
      </c>
    </row>
    <row r="64" spans="1:2">
      <c r="A64" s="254" t="s">
        <v>2257</v>
      </c>
      <c r="B64" s="253" t="s">
        <v>2258</v>
      </c>
    </row>
    <row r="65" spans="1:2">
      <c r="A65" s="254" t="s">
        <v>2259</v>
      </c>
      <c r="B65" s="253" t="s">
        <v>2260</v>
      </c>
    </row>
    <row r="66" spans="1:2">
      <c r="A66" s="254" t="s">
        <v>2261</v>
      </c>
      <c r="B66" s="253" t="s">
        <v>2262</v>
      </c>
    </row>
    <row r="67" spans="1:2">
      <c r="A67" s="254" t="s">
        <v>2263</v>
      </c>
      <c r="B67" s="253" t="s">
        <v>2264</v>
      </c>
    </row>
    <row r="68" spans="1:2">
      <c r="A68" s="254" t="s">
        <v>2265</v>
      </c>
      <c r="B68" s="253" t="s">
        <v>2266</v>
      </c>
    </row>
    <row r="69" spans="1:2">
      <c r="A69" s="254" t="s">
        <v>2267</v>
      </c>
      <c r="B69" s="253" t="s">
        <v>2268</v>
      </c>
    </row>
    <row r="70" spans="1:2">
      <c r="A70" s="254" t="s">
        <v>2269</v>
      </c>
      <c r="B70" s="253" t="s">
        <v>2270</v>
      </c>
    </row>
    <row r="71" spans="1:2">
      <c r="A71" s="254" t="s">
        <v>2271</v>
      </c>
      <c r="B71" s="253" t="s">
        <v>2272</v>
      </c>
    </row>
    <row r="72" spans="1:2">
      <c r="A72" s="254" t="s">
        <v>2273</v>
      </c>
      <c r="B72" s="253" t="s">
        <v>2274</v>
      </c>
    </row>
    <row r="73" spans="1:2">
      <c r="A73" s="254" t="s">
        <v>2275</v>
      </c>
      <c r="B73" s="253" t="s">
        <v>2276</v>
      </c>
    </row>
    <row r="74" spans="1:2">
      <c r="A74" s="254" t="s">
        <v>2277</v>
      </c>
      <c r="B74" s="253" t="s">
        <v>2278</v>
      </c>
    </row>
    <row r="75" spans="1:2">
      <c r="A75" s="254" t="s">
        <v>2279</v>
      </c>
      <c r="B75" s="253" t="s">
        <v>2280</v>
      </c>
    </row>
    <row r="76" spans="1:2">
      <c r="A76" s="254" t="s">
        <v>2281</v>
      </c>
      <c r="B76" s="253" t="s">
        <v>2282</v>
      </c>
    </row>
    <row r="77" spans="1:2">
      <c r="A77" s="254" t="s">
        <v>2283</v>
      </c>
      <c r="B77" s="253" t="s">
        <v>2284</v>
      </c>
    </row>
    <row r="78" spans="1:2">
      <c r="A78" s="254" t="s">
        <v>2285</v>
      </c>
      <c r="B78" s="253" t="s">
        <v>2286</v>
      </c>
    </row>
    <row r="79" spans="1:2">
      <c r="A79" s="254" t="s">
        <v>2287</v>
      </c>
      <c r="B79" s="253" t="s">
        <v>2288</v>
      </c>
    </row>
    <row r="80" spans="1:2">
      <c r="A80" s="254" t="s">
        <v>2289</v>
      </c>
      <c r="B80" s="253" t="s">
        <v>2290</v>
      </c>
    </row>
    <row r="81" spans="1:2">
      <c r="A81" s="254" t="s">
        <v>2291</v>
      </c>
      <c r="B81" s="253" t="s">
        <v>2292</v>
      </c>
    </row>
    <row r="82" spans="1:2">
      <c r="A82" s="254" t="s">
        <v>2293</v>
      </c>
      <c r="B82" s="253" t="s">
        <v>2294</v>
      </c>
    </row>
    <row r="83" spans="1:2">
      <c r="A83" s="254" t="s">
        <v>2295</v>
      </c>
      <c r="B83" s="253" t="s">
        <v>2296</v>
      </c>
    </row>
    <row r="84" spans="1:2">
      <c r="A84" s="254" t="s">
        <v>2297</v>
      </c>
      <c r="B84" s="253" t="s">
        <v>2298</v>
      </c>
    </row>
    <row r="85" spans="1:2">
      <c r="A85" s="254" t="s">
        <v>2299</v>
      </c>
      <c r="B85" s="253" t="s">
        <v>2300</v>
      </c>
    </row>
    <row r="86" spans="1:2">
      <c r="A86" s="254" t="s">
        <v>2301</v>
      </c>
      <c r="B86" s="253" t="s">
        <v>2302</v>
      </c>
    </row>
    <row r="87" spans="1:2">
      <c r="A87" s="254" t="s">
        <v>2303</v>
      </c>
      <c r="B87" s="253" t="s">
        <v>2304</v>
      </c>
    </row>
    <row r="88" spans="1:2">
      <c r="A88" s="254" t="s">
        <v>2305</v>
      </c>
      <c r="B88" s="253" t="s">
        <v>2306</v>
      </c>
    </row>
    <row r="89" spans="1:2">
      <c r="A89" s="249" t="s">
        <v>121</v>
      </c>
      <c r="B89" s="250" t="s">
        <v>1945</v>
      </c>
    </row>
    <row r="90" spans="1:2">
      <c r="A90" s="254" t="s">
        <v>814</v>
      </c>
      <c r="B90" s="253" t="s">
        <v>815</v>
      </c>
    </row>
    <row r="91" spans="1:2">
      <c r="A91" s="254" t="s">
        <v>816</v>
      </c>
      <c r="B91" s="253" t="s">
        <v>817</v>
      </c>
    </row>
    <row r="92" spans="1:2">
      <c r="A92" s="254" t="s">
        <v>818</v>
      </c>
      <c r="B92" s="253" t="s">
        <v>819</v>
      </c>
    </row>
    <row r="93" spans="1:2">
      <c r="A93" s="254" t="s">
        <v>820</v>
      </c>
      <c r="B93" s="253" t="s">
        <v>821</v>
      </c>
    </row>
    <row r="94" spans="1:2">
      <c r="A94" s="254" t="s">
        <v>822</v>
      </c>
      <c r="B94" s="253" t="s">
        <v>823</v>
      </c>
    </row>
    <row r="95" spans="1:2">
      <c r="A95" s="254" t="s">
        <v>824</v>
      </c>
      <c r="B95" s="253" t="s">
        <v>825</v>
      </c>
    </row>
    <row r="96" spans="1:2">
      <c r="A96" s="254" t="s">
        <v>826</v>
      </c>
      <c r="B96" s="253" t="s">
        <v>827</v>
      </c>
    </row>
    <row r="97" spans="1:2">
      <c r="A97" s="254" t="s">
        <v>828</v>
      </c>
      <c r="B97" s="253" t="s">
        <v>829</v>
      </c>
    </row>
    <row r="98" spans="1:2">
      <c r="A98" s="254" t="s">
        <v>830</v>
      </c>
      <c r="B98" s="253" t="s">
        <v>831</v>
      </c>
    </row>
    <row r="99" spans="1:2">
      <c r="A99" s="254" t="s">
        <v>832</v>
      </c>
      <c r="B99" s="253" t="s">
        <v>833</v>
      </c>
    </row>
    <row r="100" spans="1:2">
      <c r="A100" s="254" t="s">
        <v>834</v>
      </c>
      <c r="B100" s="253" t="s">
        <v>835</v>
      </c>
    </row>
    <row r="101" spans="1:2">
      <c r="A101" s="254" t="s">
        <v>836</v>
      </c>
      <c r="B101" s="253" t="s">
        <v>837</v>
      </c>
    </row>
    <row r="102" spans="1:2">
      <c r="A102" s="254" t="s">
        <v>838</v>
      </c>
      <c r="B102" s="253" t="s">
        <v>839</v>
      </c>
    </row>
    <row r="103" spans="1:2">
      <c r="A103" s="254" t="s">
        <v>840</v>
      </c>
      <c r="B103" s="253" t="s">
        <v>841</v>
      </c>
    </row>
    <row r="104" spans="1:2">
      <c r="A104" s="254" t="s">
        <v>1427</v>
      </c>
      <c r="B104" s="253" t="s">
        <v>1428</v>
      </c>
    </row>
    <row r="105" spans="1:2">
      <c r="A105" s="254" t="s">
        <v>1429</v>
      </c>
      <c r="B105" s="253" t="s">
        <v>1430</v>
      </c>
    </row>
    <row r="106" spans="1:2">
      <c r="A106" s="254" t="s">
        <v>1431</v>
      </c>
      <c r="B106" s="253" t="s">
        <v>1432</v>
      </c>
    </row>
    <row r="107" spans="1:2">
      <c r="A107" s="254" t="s">
        <v>1433</v>
      </c>
      <c r="B107" s="253" t="s">
        <v>1434</v>
      </c>
    </row>
    <row r="108" spans="1:2">
      <c r="A108" s="254" t="s">
        <v>1435</v>
      </c>
      <c r="B108" s="253" t="s">
        <v>1436</v>
      </c>
    </row>
    <row r="109" spans="1:2">
      <c r="A109" s="254" t="s">
        <v>1437</v>
      </c>
      <c r="B109" s="253" t="s">
        <v>1438</v>
      </c>
    </row>
    <row r="110" spans="1:2">
      <c r="A110" s="254" t="s">
        <v>1439</v>
      </c>
      <c r="B110" s="253" t="s">
        <v>1440</v>
      </c>
    </row>
    <row r="111" spans="1:2">
      <c r="A111" s="254" t="s">
        <v>1441</v>
      </c>
      <c r="B111" s="253" t="s">
        <v>1442</v>
      </c>
    </row>
    <row r="112" spans="1:2">
      <c r="A112" s="254" t="s">
        <v>1443</v>
      </c>
      <c r="B112" s="253" t="s">
        <v>1444</v>
      </c>
    </row>
    <row r="113" spans="1:2">
      <c r="A113" s="254" t="s">
        <v>1445</v>
      </c>
      <c r="B113" s="253" t="s">
        <v>1446</v>
      </c>
    </row>
    <row r="114" spans="1:2">
      <c r="A114" s="254" t="s">
        <v>1447</v>
      </c>
      <c r="B114" s="253" t="s">
        <v>1448</v>
      </c>
    </row>
    <row r="115" spans="1:2">
      <c r="A115" s="254" t="s">
        <v>1449</v>
      </c>
      <c r="B115" s="253" t="s">
        <v>1450</v>
      </c>
    </row>
    <row r="116" spans="1:2">
      <c r="A116" s="254" t="s">
        <v>1451</v>
      </c>
      <c r="B116" s="253" t="s">
        <v>1452</v>
      </c>
    </row>
    <row r="117" spans="1:2">
      <c r="A117" s="254" t="s">
        <v>1453</v>
      </c>
      <c r="B117" s="253" t="s">
        <v>1454</v>
      </c>
    </row>
    <row r="118" spans="1:2">
      <c r="A118" s="254" t="s">
        <v>1455</v>
      </c>
      <c r="B118" s="253" t="s">
        <v>1456</v>
      </c>
    </row>
    <row r="119" spans="1:2">
      <c r="A119" s="254" t="s">
        <v>1457</v>
      </c>
      <c r="B119" s="253" t="s">
        <v>1458</v>
      </c>
    </row>
    <row r="120" spans="1:2">
      <c r="A120" s="254" t="s">
        <v>1459</v>
      </c>
      <c r="B120" s="253" t="s">
        <v>1460</v>
      </c>
    </row>
    <row r="121" spans="1:2">
      <c r="A121" s="254" t="s">
        <v>1461</v>
      </c>
      <c r="B121" s="253" t="s">
        <v>1462</v>
      </c>
    </row>
    <row r="122" spans="1:2">
      <c r="A122" s="254" t="s">
        <v>1463</v>
      </c>
      <c r="B122" s="253" t="s">
        <v>1464</v>
      </c>
    </row>
    <row r="123" spans="1:2">
      <c r="A123" s="254" t="s">
        <v>1465</v>
      </c>
      <c r="B123" s="253" t="s">
        <v>1466</v>
      </c>
    </row>
    <row r="124" spans="1:2">
      <c r="A124" s="254" t="s">
        <v>1467</v>
      </c>
      <c r="B124" s="253" t="s">
        <v>1468</v>
      </c>
    </row>
    <row r="125" spans="1:2">
      <c r="A125" s="254" t="s">
        <v>1469</v>
      </c>
      <c r="B125" s="253" t="s">
        <v>1470</v>
      </c>
    </row>
    <row r="126" spans="1:2">
      <c r="A126" s="254" t="s">
        <v>1471</v>
      </c>
      <c r="B126" s="253" t="s">
        <v>1472</v>
      </c>
    </row>
    <row r="127" spans="1:2">
      <c r="A127" s="254" t="s">
        <v>1473</v>
      </c>
      <c r="B127" s="253" t="s">
        <v>1474</v>
      </c>
    </row>
    <row r="128" spans="1:2">
      <c r="A128" s="254" t="s">
        <v>1475</v>
      </c>
      <c r="B128" s="253" t="s">
        <v>1476</v>
      </c>
    </row>
    <row r="129" spans="1:2">
      <c r="A129" s="254" t="s">
        <v>1477</v>
      </c>
      <c r="B129" s="253" t="s">
        <v>1478</v>
      </c>
    </row>
    <row r="130" spans="1:2">
      <c r="A130" s="254" t="s">
        <v>1479</v>
      </c>
      <c r="B130" s="253" t="s">
        <v>1480</v>
      </c>
    </row>
    <row r="131" spans="1:2">
      <c r="A131" s="254" t="s">
        <v>1481</v>
      </c>
      <c r="B131" s="253" t="s">
        <v>1482</v>
      </c>
    </row>
    <row r="132" spans="1:2">
      <c r="A132" s="254" t="s">
        <v>1483</v>
      </c>
      <c r="B132" s="253" t="s">
        <v>1484</v>
      </c>
    </row>
    <row r="133" spans="1:2">
      <c r="A133" s="254" t="s">
        <v>1485</v>
      </c>
      <c r="B133" s="253" t="s">
        <v>1486</v>
      </c>
    </row>
    <row r="134" spans="1:2">
      <c r="A134" s="254" t="s">
        <v>1487</v>
      </c>
      <c r="B134" s="253" t="s">
        <v>1488</v>
      </c>
    </row>
    <row r="135" spans="1:2">
      <c r="A135" s="254" t="s">
        <v>1489</v>
      </c>
      <c r="B135" s="253" t="s">
        <v>1490</v>
      </c>
    </row>
    <row r="136" spans="1:2">
      <c r="A136" s="254" t="s">
        <v>1491</v>
      </c>
      <c r="B136" s="253" t="s">
        <v>1492</v>
      </c>
    </row>
    <row r="137" spans="1:2">
      <c r="A137" s="254" t="s">
        <v>1493</v>
      </c>
      <c r="B137" s="253" t="s">
        <v>1494</v>
      </c>
    </row>
    <row r="138" spans="1:2">
      <c r="A138" s="254" t="s">
        <v>1495</v>
      </c>
      <c r="B138" s="253" t="s">
        <v>1496</v>
      </c>
    </row>
    <row r="139" spans="1:2">
      <c r="A139" s="254" t="s">
        <v>1497</v>
      </c>
      <c r="B139" s="253" t="s">
        <v>1498</v>
      </c>
    </row>
    <row r="140" spans="1:2">
      <c r="A140" s="254" t="s">
        <v>1499</v>
      </c>
      <c r="B140" s="253" t="s">
        <v>1500</v>
      </c>
    </row>
    <row r="141" spans="1:2">
      <c r="A141" s="254" t="s">
        <v>1501</v>
      </c>
      <c r="B141" s="253" t="s">
        <v>1502</v>
      </c>
    </row>
    <row r="142" spans="1:2">
      <c r="A142" s="254" t="s">
        <v>1503</v>
      </c>
      <c r="B142" s="253" t="s">
        <v>1504</v>
      </c>
    </row>
    <row r="143" spans="1:2">
      <c r="A143" s="254" t="s">
        <v>2307</v>
      </c>
      <c r="B143" s="253" t="s">
        <v>2308</v>
      </c>
    </row>
    <row r="144" spans="1:2">
      <c r="A144" s="254" t="s">
        <v>2309</v>
      </c>
      <c r="B144" s="253" t="s">
        <v>2310</v>
      </c>
    </row>
    <row r="145" spans="1:2">
      <c r="A145" s="254" t="s">
        <v>2311</v>
      </c>
      <c r="B145" s="253" t="s">
        <v>2312</v>
      </c>
    </row>
    <row r="146" spans="1:2">
      <c r="A146" s="254" t="s">
        <v>2313</v>
      </c>
      <c r="B146" s="253" t="s">
        <v>2314</v>
      </c>
    </row>
    <row r="147" spans="1:2">
      <c r="A147" s="254" t="s">
        <v>2315</v>
      </c>
      <c r="B147" s="253" t="s">
        <v>2316</v>
      </c>
    </row>
    <row r="148" spans="1:2">
      <c r="A148" s="254" t="s">
        <v>2317</v>
      </c>
      <c r="B148" s="253" t="s">
        <v>2318</v>
      </c>
    </row>
    <row r="149" spans="1:2">
      <c r="A149" s="254" t="s">
        <v>2319</v>
      </c>
      <c r="B149" s="253" t="s">
        <v>2320</v>
      </c>
    </row>
    <row r="150" spans="1:2">
      <c r="A150" s="254" t="s">
        <v>2321</v>
      </c>
      <c r="B150" s="253" t="s">
        <v>2322</v>
      </c>
    </row>
    <row r="151" spans="1:2">
      <c r="A151" s="254" t="s">
        <v>2323</v>
      </c>
      <c r="B151" s="253" t="s">
        <v>2324</v>
      </c>
    </row>
    <row r="152" spans="1:2">
      <c r="A152" s="254" t="s">
        <v>2325</v>
      </c>
      <c r="B152" s="253" t="s">
        <v>2326</v>
      </c>
    </row>
    <row r="153" spans="1:2">
      <c r="A153" s="254" t="s">
        <v>2327</v>
      </c>
      <c r="B153" s="253" t="s">
        <v>2264</v>
      </c>
    </row>
    <row r="154" spans="1:2">
      <c r="A154" s="254" t="s">
        <v>2328</v>
      </c>
      <c r="B154" s="253" t="s">
        <v>2329</v>
      </c>
    </row>
    <row r="155" spans="1:2">
      <c r="A155" s="254" t="s">
        <v>2330</v>
      </c>
      <c r="B155" s="253" t="s">
        <v>2331</v>
      </c>
    </row>
    <row r="156" spans="1:2">
      <c r="A156" s="254" t="s">
        <v>2332</v>
      </c>
      <c r="B156" s="253" t="s">
        <v>2333</v>
      </c>
    </row>
    <row r="157" spans="1:2">
      <c r="A157" s="254" t="s">
        <v>2334</v>
      </c>
      <c r="B157" s="253" t="s">
        <v>2335</v>
      </c>
    </row>
    <row r="158" spans="1:2">
      <c r="A158" s="254" t="s">
        <v>2336</v>
      </c>
      <c r="B158" s="253" t="s">
        <v>2337</v>
      </c>
    </row>
    <row r="159" spans="1:2">
      <c r="A159" s="254" t="s">
        <v>2338</v>
      </c>
      <c r="B159" s="253" t="s">
        <v>2339</v>
      </c>
    </row>
    <row r="160" spans="1:2">
      <c r="A160" s="254" t="s">
        <v>2340</v>
      </c>
      <c r="B160" s="253" t="s">
        <v>2341</v>
      </c>
    </row>
    <row r="161" spans="1:2">
      <c r="A161" s="254" t="s">
        <v>2342</v>
      </c>
      <c r="B161" s="253" t="s">
        <v>2343</v>
      </c>
    </row>
    <row r="162" spans="1:2">
      <c r="A162" s="254" t="s">
        <v>2344</v>
      </c>
      <c r="B162" s="253" t="s">
        <v>2345</v>
      </c>
    </row>
    <row r="163" spans="1:2">
      <c r="A163" s="254" t="s">
        <v>2346</v>
      </c>
      <c r="B163" s="253" t="s">
        <v>2347</v>
      </c>
    </row>
    <row r="164" spans="1:2">
      <c r="A164" s="254" t="s">
        <v>2348</v>
      </c>
      <c r="B164" s="253" t="s">
        <v>2349</v>
      </c>
    </row>
    <row r="165" spans="1:2">
      <c r="A165" s="254" t="s">
        <v>2350</v>
      </c>
      <c r="B165" s="253" t="s">
        <v>2351</v>
      </c>
    </row>
    <row r="166" spans="1:2">
      <c r="A166" s="254" t="s">
        <v>2352</v>
      </c>
      <c r="B166" s="253" t="s">
        <v>2353</v>
      </c>
    </row>
    <row r="167" spans="1:2">
      <c r="A167" s="254" t="s">
        <v>2354</v>
      </c>
      <c r="B167" s="253" t="s">
        <v>2355</v>
      </c>
    </row>
    <row r="168" spans="1:2">
      <c r="A168" s="254" t="s">
        <v>2356</v>
      </c>
      <c r="B168" s="253" t="s">
        <v>2357</v>
      </c>
    </row>
    <row r="169" spans="1:2">
      <c r="A169" s="254" t="s">
        <v>2358</v>
      </c>
      <c r="B169" s="253" t="s">
        <v>2359</v>
      </c>
    </row>
    <row r="170" spans="1:2">
      <c r="A170" s="254" t="s">
        <v>2360</v>
      </c>
      <c r="B170" s="253" t="s">
        <v>2361</v>
      </c>
    </row>
    <row r="171" spans="1:2">
      <c r="A171" s="254" t="s">
        <v>2362</v>
      </c>
      <c r="B171" s="253" t="s">
        <v>2363</v>
      </c>
    </row>
    <row r="172" spans="1:2">
      <c r="A172" s="254" t="s">
        <v>2364</v>
      </c>
      <c r="B172" s="253" t="s">
        <v>2365</v>
      </c>
    </row>
    <row r="173" spans="1:2">
      <c r="A173" s="254" t="s">
        <v>2366</v>
      </c>
      <c r="B173" s="253" t="s">
        <v>2367</v>
      </c>
    </row>
    <row r="174" spans="1:2">
      <c r="A174" s="254" t="s">
        <v>2368</v>
      </c>
      <c r="B174" s="253" t="s">
        <v>2369</v>
      </c>
    </row>
    <row r="175" spans="1:2">
      <c r="A175" s="254" t="s">
        <v>2370</v>
      </c>
      <c r="B175" s="253" t="s">
        <v>2371</v>
      </c>
    </row>
    <row r="176" spans="1:2">
      <c r="A176" s="254" t="s">
        <v>2372</v>
      </c>
      <c r="B176" s="253" t="s">
        <v>2373</v>
      </c>
    </row>
    <row r="177" spans="1:2">
      <c r="A177" s="254" t="s">
        <v>2374</v>
      </c>
      <c r="B177" s="253" t="s">
        <v>2375</v>
      </c>
    </row>
    <row r="178" spans="1:2">
      <c r="A178" s="254" t="s">
        <v>2376</v>
      </c>
      <c r="B178" s="253" t="s">
        <v>2377</v>
      </c>
    </row>
    <row r="179" spans="1:2">
      <c r="A179" s="254" t="s">
        <v>2378</v>
      </c>
      <c r="B179" s="253" t="s">
        <v>2379</v>
      </c>
    </row>
    <row r="180" spans="1:2">
      <c r="A180" s="254" t="s">
        <v>2380</v>
      </c>
      <c r="B180" s="253" t="s">
        <v>2381</v>
      </c>
    </row>
    <row r="181" spans="1:2">
      <c r="A181" s="254" t="s">
        <v>2382</v>
      </c>
      <c r="B181" s="253" t="s">
        <v>2383</v>
      </c>
    </row>
    <row r="182" spans="1:2">
      <c r="A182" s="254" t="s">
        <v>2384</v>
      </c>
      <c r="B182" s="253" t="s">
        <v>2385</v>
      </c>
    </row>
    <row r="183" spans="1:2">
      <c r="A183" s="254" t="s">
        <v>2386</v>
      </c>
      <c r="B183" s="253" t="s">
        <v>2387</v>
      </c>
    </row>
    <row r="184" spans="1:2">
      <c r="A184" s="254" t="s">
        <v>2388</v>
      </c>
      <c r="B184" s="253" t="s">
        <v>2389</v>
      </c>
    </row>
    <row r="185" spans="1:2">
      <c r="A185" s="254" t="s">
        <v>2390</v>
      </c>
      <c r="B185" s="253" t="s">
        <v>2391</v>
      </c>
    </row>
    <row r="186" spans="1:2">
      <c r="A186" s="254" t="s">
        <v>2392</v>
      </c>
      <c r="B186" s="253" t="s">
        <v>2393</v>
      </c>
    </row>
    <row r="187" spans="1:2">
      <c r="A187" s="254" t="s">
        <v>2394</v>
      </c>
      <c r="B187" s="253" t="s">
        <v>2395</v>
      </c>
    </row>
    <row r="188" spans="1:2">
      <c r="A188" s="254" t="s">
        <v>2396</v>
      </c>
      <c r="B188" s="253" t="s">
        <v>2397</v>
      </c>
    </row>
    <row r="189" spans="1:2">
      <c r="A189" s="254" t="s">
        <v>2398</v>
      </c>
      <c r="B189" s="253" t="s">
        <v>2399</v>
      </c>
    </row>
    <row r="190" spans="1:2">
      <c r="A190" s="254" t="s">
        <v>2400</v>
      </c>
      <c r="B190" s="253" t="s">
        <v>2401</v>
      </c>
    </row>
    <row r="191" spans="1:2">
      <c r="A191" s="254" t="s">
        <v>2402</v>
      </c>
      <c r="B191" s="253" t="s">
        <v>2403</v>
      </c>
    </row>
    <row r="192" spans="1:2">
      <c r="A192" s="254" t="s">
        <v>2404</v>
      </c>
      <c r="B192" s="253" t="s">
        <v>2405</v>
      </c>
    </row>
    <row r="193" spans="1:2">
      <c r="A193" s="254" t="s">
        <v>2406</v>
      </c>
      <c r="B193" s="253" t="s">
        <v>2407</v>
      </c>
    </row>
    <row r="194" spans="1:2">
      <c r="A194" s="254" t="s">
        <v>2408</v>
      </c>
      <c r="B194" s="253" t="s">
        <v>2409</v>
      </c>
    </row>
    <row r="195" spans="1:2">
      <c r="A195" s="254" t="s">
        <v>2410</v>
      </c>
      <c r="B195" s="253" t="s">
        <v>2411</v>
      </c>
    </row>
    <row r="196" spans="1:2">
      <c r="A196" s="254" t="s">
        <v>2412</v>
      </c>
      <c r="B196" s="253" t="s">
        <v>2413</v>
      </c>
    </row>
    <row r="197" spans="1:2">
      <c r="A197" s="254" t="s">
        <v>2414</v>
      </c>
      <c r="B197" s="253" t="s">
        <v>2415</v>
      </c>
    </row>
    <row r="198" spans="1:2">
      <c r="A198" s="254" t="s">
        <v>2416</v>
      </c>
      <c r="B198" s="253" t="s">
        <v>2417</v>
      </c>
    </row>
    <row r="199" spans="1:2">
      <c r="A199" s="254" t="s">
        <v>2418</v>
      </c>
      <c r="B199" s="253" t="s">
        <v>2419</v>
      </c>
    </row>
    <row r="200" spans="1:2">
      <c r="A200" s="254" t="s">
        <v>2420</v>
      </c>
      <c r="B200" s="253" t="s">
        <v>2421</v>
      </c>
    </row>
    <row r="201" spans="1:2">
      <c r="A201" s="254" t="s">
        <v>2422</v>
      </c>
      <c r="B201" s="253" t="s">
        <v>2423</v>
      </c>
    </row>
    <row r="202" spans="1:2">
      <c r="A202" s="254" t="s">
        <v>2424</v>
      </c>
      <c r="B202" s="253" t="s">
        <v>2425</v>
      </c>
    </row>
    <row r="203" spans="1:2">
      <c r="A203" s="254" t="s">
        <v>2426</v>
      </c>
      <c r="B203" s="253" t="s">
        <v>2427</v>
      </c>
    </row>
    <row r="204" spans="1:2">
      <c r="A204" s="254" t="s">
        <v>2428</v>
      </c>
      <c r="B204" s="253" t="s">
        <v>2429</v>
      </c>
    </row>
    <row r="205" spans="1:2">
      <c r="A205" s="254" t="s">
        <v>2430</v>
      </c>
      <c r="B205" s="253" t="s">
        <v>2431</v>
      </c>
    </row>
    <row r="206" spans="1:2">
      <c r="A206" s="254" t="s">
        <v>2432</v>
      </c>
      <c r="B206" s="253" t="s">
        <v>2433</v>
      </c>
    </row>
    <row r="207" spans="1:2">
      <c r="A207" s="249" t="s">
        <v>2123</v>
      </c>
      <c r="B207" s="250" t="s">
        <v>2124</v>
      </c>
    </row>
    <row r="208" spans="1:2">
      <c r="A208" s="254" t="s">
        <v>2434</v>
      </c>
      <c r="B208" s="253" t="s">
        <v>2435</v>
      </c>
    </row>
    <row r="209" spans="1:2">
      <c r="A209" s="254" t="s">
        <v>2436</v>
      </c>
      <c r="B209" s="253" t="s">
        <v>2437</v>
      </c>
    </row>
    <row r="210" spans="1:2">
      <c r="A210" s="254" t="s">
        <v>2438</v>
      </c>
      <c r="B210" s="253" t="s">
        <v>2439</v>
      </c>
    </row>
    <row r="211" spans="1:2">
      <c r="A211" s="254" t="s">
        <v>2440</v>
      </c>
      <c r="B211" s="253" t="s">
        <v>2441</v>
      </c>
    </row>
    <row r="212" spans="1:2">
      <c r="A212" s="254" t="s">
        <v>2442</v>
      </c>
      <c r="B212" s="253" t="s">
        <v>2443</v>
      </c>
    </row>
    <row r="213" spans="1:2">
      <c r="A213" s="254" t="s">
        <v>2444</v>
      </c>
      <c r="B213" s="253" t="s">
        <v>2445</v>
      </c>
    </row>
    <row r="214" spans="1:2">
      <c r="A214" s="254" t="s">
        <v>2446</v>
      </c>
      <c r="B214" s="253" t="s">
        <v>2447</v>
      </c>
    </row>
    <row r="215" spans="1:2">
      <c r="A215" s="254" t="s">
        <v>2448</v>
      </c>
      <c r="B215" s="253" t="s">
        <v>2449</v>
      </c>
    </row>
    <row r="216" spans="1:2">
      <c r="A216" s="254" t="s">
        <v>2450</v>
      </c>
      <c r="B216" s="253" t="s">
        <v>2451</v>
      </c>
    </row>
    <row r="217" spans="1:2">
      <c r="A217" s="254" t="s">
        <v>2452</v>
      </c>
      <c r="B217" s="253" t="s">
        <v>2453</v>
      </c>
    </row>
    <row r="218" spans="1:2">
      <c r="A218" s="254" t="s">
        <v>2454</v>
      </c>
      <c r="B218" s="253" t="s">
        <v>2455</v>
      </c>
    </row>
    <row r="219" spans="1:2">
      <c r="A219" s="254" t="s">
        <v>2456</v>
      </c>
      <c r="B219" s="253" t="s">
        <v>2457</v>
      </c>
    </row>
    <row r="220" spans="1:2">
      <c r="A220" s="254" t="s">
        <v>2458</v>
      </c>
      <c r="B220" s="253" t="s">
        <v>2459</v>
      </c>
    </row>
    <row r="221" spans="1:2">
      <c r="A221" s="254" t="s">
        <v>2460</v>
      </c>
      <c r="B221" s="253" t="s">
        <v>2461</v>
      </c>
    </row>
    <row r="222" spans="1:2">
      <c r="A222" s="254" t="s">
        <v>2462</v>
      </c>
      <c r="B222" s="253" t="s">
        <v>2463</v>
      </c>
    </row>
    <row r="223" spans="1:2">
      <c r="A223" s="254" t="s">
        <v>2464</v>
      </c>
      <c r="B223" s="253" t="s">
        <v>2465</v>
      </c>
    </row>
    <row r="224" spans="1:2">
      <c r="A224" s="254" t="s">
        <v>2466</v>
      </c>
      <c r="B224" s="253" t="s">
        <v>2467</v>
      </c>
    </row>
    <row r="225" spans="1:2">
      <c r="A225" s="254" t="s">
        <v>2468</v>
      </c>
      <c r="B225" s="253" t="s">
        <v>2469</v>
      </c>
    </row>
    <row r="226" spans="1:2">
      <c r="A226" s="249" t="s">
        <v>128</v>
      </c>
      <c r="B226" s="250" t="s">
        <v>1946</v>
      </c>
    </row>
    <row r="227" spans="1:2">
      <c r="A227" s="254" t="s">
        <v>842</v>
      </c>
      <c r="B227" s="253" t="s">
        <v>843</v>
      </c>
    </row>
    <row r="228" spans="1:2">
      <c r="A228" s="254" t="s">
        <v>844</v>
      </c>
      <c r="B228" s="253" t="s">
        <v>845</v>
      </c>
    </row>
    <row r="229" spans="1:2">
      <c r="A229" s="254" t="s">
        <v>846</v>
      </c>
      <c r="B229" s="253" t="s">
        <v>847</v>
      </c>
    </row>
    <row r="230" spans="1:2">
      <c r="A230" s="254" t="s">
        <v>848</v>
      </c>
      <c r="B230" s="253" t="s">
        <v>849</v>
      </c>
    </row>
    <row r="231" spans="1:2">
      <c r="A231" s="254" t="s">
        <v>850</v>
      </c>
      <c r="B231" s="253" t="s">
        <v>851</v>
      </c>
    </row>
    <row r="232" spans="1:2">
      <c r="A232" s="254" t="s">
        <v>852</v>
      </c>
      <c r="B232" s="253" t="s">
        <v>853</v>
      </c>
    </row>
    <row r="233" spans="1:2">
      <c r="A233" s="254" t="s">
        <v>854</v>
      </c>
      <c r="B233" s="253" t="s">
        <v>855</v>
      </c>
    </row>
    <row r="234" spans="1:2">
      <c r="A234" s="254" t="s">
        <v>1505</v>
      </c>
      <c r="B234" s="253" t="s">
        <v>1506</v>
      </c>
    </row>
    <row r="235" spans="1:2">
      <c r="A235" s="254" t="s">
        <v>1507</v>
      </c>
      <c r="B235" s="253" t="s">
        <v>1508</v>
      </c>
    </row>
    <row r="236" spans="1:2">
      <c r="A236" s="254" t="s">
        <v>1509</v>
      </c>
      <c r="B236" s="253" t="s">
        <v>1510</v>
      </c>
    </row>
    <row r="237" spans="1:2">
      <c r="A237" s="254" t="s">
        <v>1511</v>
      </c>
      <c r="B237" s="253" t="s">
        <v>1512</v>
      </c>
    </row>
    <row r="238" spans="1:2">
      <c r="A238" s="254" t="s">
        <v>1513</v>
      </c>
      <c r="B238" s="253" t="s">
        <v>1514</v>
      </c>
    </row>
    <row r="239" spans="1:2">
      <c r="A239" s="254" t="s">
        <v>2470</v>
      </c>
      <c r="B239" s="253" t="s">
        <v>2471</v>
      </c>
    </row>
    <row r="240" spans="1:2">
      <c r="A240" s="254" t="s">
        <v>2472</v>
      </c>
      <c r="B240" s="253" t="s">
        <v>2473</v>
      </c>
    </row>
    <row r="241" spans="1:2">
      <c r="A241" s="254" t="s">
        <v>2474</v>
      </c>
      <c r="B241" s="253" t="s">
        <v>2475</v>
      </c>
    </row>
    <row r="242" spans="1:2">
      <c r="A242" s="254" t="s">
        <v>2476</v>
      </c>
      <c r="B242" s="253" t="s">
        <v>2477</v>
      </c>
    </row>
    <row r="243" spans="1:2">
      <c r="A243" s="254" t="s">
        <v>2478</v>
      </c>
      <c r="B243" s="253" t="s">
        <v>2479</v>
      </c>
    </row>
    <row r="244" spans="1:2">
      <c r="A244" s="254" t="s">
        <v>2480</v>
      </c>
      <c r="B244" s="253" t="s">
        <v>2481</v>
      </c>
    </row>
    <row r="245" spans="1:2">
      <c r="A245" s="254" t="s">
        <v>2482</v>
      </c>
      <c r="B245" s="253" t="s">
        <v>2483</v>
      </c>
    </row>
    <row r="246" spans="1:2">
      <c r="A246" s="254" t="s">
        <v>2484</v>
      </c>
      <c r="B246" s="253" t="s">
        <v>2485</v>
      </c>
    </row>
    <row r="247" spans="1:2">
      <c r="A247" s="249" t="s">
        <v>134</v>
      </c>
      <c r="B247" s="250" t="s">
        <v>1947</v>
      </c>
    </row>
    <row r="248" spans="1:2">
      <c r="A248" s="254" t="s">
        <v>856</v>
      </c>
      <c r="B248" s="253" t="s">
        <v>857</v>
      </c>
    </row>
    <row r="249" spans="1:2">
      <c r="A249" s="254" t="s">
        <v>858</v>
      </c>
      <c r="B249" s="253" t="s">
        <v>859</v>
      </c>
    </row>
    <row r="250" spans="1:2">
      <c r="A250" s="254" t="s">
        <v>1515</v>
      </c>
      <c r="B250" s="253" t="s">
        <v>1516</v>
      </c>
    </row>
    <row r="251" spans="1:2">
      <c r="A251" s="254" t="s">
        <v>1517</v>
      </c>
      <c r="B251" s="253" t="s">
        <v>1518</v>
      </c>
    </row>
    <row r="252" spans="1:2">
      <c r="A252" s="254" t="s">
        <v>2486</v>
      </c>
      <c r="B252" s="253" t="s">
        <v>2487</v>
      </c>
    </row>
    <row r="253" spans="1:2">
      <c r="A253" s="254" t="s">
        <v>2488</v>
      </c>
      <c r="B253" s="253" t="s">
        <v>2489</v>
      </c>
    </row>
    <row r="254" spans="1:2">
      <c r="A254" s="254" t="s">
        <v>2490</v>
      </c>
      <c r="B254" s="253" t="s">
        <v>2491</v>
      </c>
    </row>
    <row r="255" spans="1:2">
      <c r="A255" s="254" t="s">
        <v>2492</v>
      </c>
      <c r="B255" s="253" t="s">
        <v>2493</v>
      </c>
    </row>
    <row r="256" spans="1:2">
      <c r="A256" s="254" t="s">
        <v>2494</v>
      </c>
      <c r="B256" s="253" t="s">
        <v>2495</v>
      </c>
    </row>
    <row r="257" spans="1:2">
      <c r="A257" s="249" t="s">
        <v>136</v>
      </c>
      <c r="B257" s="250" t="s">
        <v>1948</v>
      </c>
    </row>
    <row r="258" spans="1:2">
      <c r="A258" s="254" t="s">
        <v>860</v>
      </c>
      <c r="B258" s="253" t="s">
        <v>861</v>
      </c>
    </row>
    <row r="259" spans="1:2">
      <c r="A259" s="254" t="s">
        <v>862</v>
      </c>
      <c r="B259" s="253" t="s">
        <v>863</v>
      </c>
    </row>
    <row r="260" spans="1:2">
      <c r="A260" s="254" t="s">
        <v>864</v>
      </c>
      <c r="B260" s="253" t="s">
        <v>865</v>
      </c>
    </row>
    <row r="261" spans="1:2">
      <c r="A261" s="254" t="s">
        <v>2496</v>
      </c>
      <c r="B261" s="253" t="s">
        <v>2497</v>
      </c>
    </row>
    <row r="262" spans="1:2">
      <c r="A262" s="254" t="s">
        <v>2498</v>
      </c>
      <c r="B262" s="253" t="s">
        <v>2499</v>
      </c>
    </row>
    <row r="263" spans="1:2">
      <c r="A263" s="254" t="s">
        <v>2500</v>
      </c>
      <c r="B263" s="253" t="s">
        <v>2501</v>
      </c>
    </row>
    <row r="264" spans="1:2">
      <c r="A264" s="254" t="s">
        <v>2502</v>
      </c>
      <c r="B264" s="253" t="s">
        <v>2503</v>
      </c>
    </row>
    <row r="265" spans="1:2">
      <c r="A265" s="254" t="s">
        <v>2504</v>
      </c>
      <c r="B265" s="253" t="s">
        <v>2505</v>
      </c>
    </row>
    <row r="266" spans="1:2">
      <c r="A266" s="254" t="s">
        <v>2506</v>
      </c>
      <c r="B266" s="253" t="s">
        <v>2507</v>
      </c>
    </row>
    <row r="267" spans="1:2">
      <c r="A267" s="254" t="s">
        <v>2508</v>
      </c>
      <c r="B267" s="253" t="s">
        <v>2509</v>
      </c>
    </row>
    <row r="268" spans="1:2">
      <c r="A268" s="254" t="s">
        <v>2510</v>
      </c>
      <c r="B268" s="253" t="s">
        <v>2511</v>
      </c>
    </row>
    <row r="269" spans="1:2">
      <c r="A269" s="254" t="s">
        <v>2512</v>
      </c>
      <c r="B269" s="253" t="s">
        <v>2513</v>
      </c>
    </row>
    <row r="270" spans="1:2">
      <c r="A270" s="254" t="s">
        <v>2514</v>
      </c>
      <c r="B270" s="253" t="s">
        <v>2515</v>
      </c>
    </row>
    <row r="271" spans="1:2">
      <c r="A271" s="254" t="s">
        <v>2516</v>
      </c>
      <c r="B271" s="253" t="s">
        <v>2517</v>
      </c>
    </row>
    <row r="272" spans="1:2">
      <c r="A272" s="254" t="s">
        <v>2518</v>
      </c>
      <c r="B272" s="253" t="s">
        <v>2519</v>
      </c>
    </row>
    <row r="273" spans="1:2">
      <c r="A273" s="249" t="s">
        <v>138</v>
      </c>
      <c r="B273" s="250" t="s">
        <v>2125</v>
      </c>
    </row>
    <row r="274" spans="1:2">
      <c r="A274" s="254" t="s">
        <v>866</v>
      </c>
      <c r="B274" s="253" t="s">
        <v>867</v>
      </c>
    </row>
    <row r="275" spans="1:2">
      <c r="A275" s="254" t="s">
        <v>868</v>
      </c>
      <c r="B275" s="253" t="s">
        <v>869</v>
      </c>
    </row>
    <row r="276" spans="1:2">
      <c r="A276" s="254" t="s">
        <v>870</v>
      </c>
      <c r="B276" s="253" t="s">
        <v>871</v>
      </c>
    </row>
    <row r="277" spans="1:2">
      <c r="A277" s="254" t="s">
        <v>872</v>
      </c>
      <c r="B277" s="253" t="s">
        <v>873</v>
      </c>
    </row>
    <row r="278" spans="1:2">
      <c r="A278" s="254" t="s">
        <v>874</v>
      </c>
      <c r="B278" s="253" t="s">
        <v>875</v>
      </c>
    </row>
    <row r="279" spans="1:2">
      <c r="A279" s="254" t="s">
        <v>876</v>
      </c>
      <c r="B279" s="253" t="s">
        <v>877</v>
      </c>
    </row>
    <row r="280" spans="1:2">
      <c r="A280" s="254" t="s">
        <v>878</v>
      </c>
      <c r="B280" s="253" t="s">
        <v>879</v>
      </c>
    </row>
    <row r="281" spans="1:2">
      <c r="A281" s="254" t="s">
        <v>880</v>
      </c>
      <c r="B281" s="253" t="s">
        <v>881</v>
      </c>
    </row>
    <row r="282" spans="1:2">
      <c r="A282" s="254" t="s">
        <v>882</v>
      </c>
      <c r="B282" s="253" t="s">
        <v>883</v>
      </c>
    </row>
    <row r="283" spans="1:2">
      <c r="A283" s="254" t="s">
        <v>884</v>
      </c>
      <c r="B283" s="253" t="s">
        <v>885</v>
      </c>
    </row>
    <row r="284" spans="1:2">
      <c r="A284" s="254" t="s">
        <v>886</v>
      </c>
      <c r="B284" s="253" t="s">
        <v>887</v>
      </c>
    </row>
    <row r="285" spans="1:2">
      <c r="A285" s="254" t="s">
        <v>888</v>
      </c>
      <c r="B285" s="253" t="s">
        <v>889</v>
      </c>
    </row>
    <row r="286" spans="1:2">
      <c r="A286" s="254" t="s">
        <v>890</v>
      </c>
      <c r="B286" s="253" t="s">
        <v>891</v>
      </c>
    </row>
    <row r="287" spans="1:2">
      <c r="A287" s="254" t="s">
        <v>892</v>
      </c>
      <c r="B287" s="253" t="s">
        <v>893</v>
      </c>
    </row>
    <row r="288" spans="1:2">
      <c r="A288" s="254" t="s">
        <v>894</v>
      </c>
      <c r="B288" s="253" t="s">
        <v>895</v>
      </c>
    </row>
    <row r="289" spans="1:2">
      <c r="A289" s="254" t="s">
        <v>896</v>
      </c>
      <c r="B289" s="253" t="s">
        <v>897</v>
      </c>
    </row>
    <row r="290" spans="1:2">
      <c r="A290" s="254" t="s">
        <v>898</v>
      </c>
      <c r="B290" s="253" t="s">
        <v>899</v>
      </c>
    </row>
    <row r="291" spans="1:2">
      <c r="A291" s="254" t="s">
        <v>900</v>
      </c>
      <c r="B291" s="253" t="s">
        <v>901</v>
      </c>
    </row>
    <row r="292" spans="1:2">
      <c r="A292" s="254" t="s">
        <v>902</v>
      </c>
      <c r="B292" s="253" t="s">
        <v>903</v>
      </c>
    </row>
    <row r="293" spans="1:2">
      <c r="A293" s="254" t="s">
        <v>904</v>
      </c>
      <c r="B293" s="253" t="s">
        <v>905</v>
      </c>
    </row>
    <row r="294" spans="1:2">
      <c r="A294" s="254" t="s">
        <v>906</v>
      </c>
      <c r="B294" s="253" t="s">
        <v>907</v>
      </c>
    </row>
    <row r="295" spans="1:2">
      <c r="A295" s="254" t="s">
        <v>908</v>
      </c>
      <c r="B295" s="253" t="s">
        <v>909</v>
      </c>
    </row>
    <row r="296" spans="1:2">
      <c r="A296" s="254" t="s">
        <v>910</v>
      </c>
      <c r="B296" s="253" t="s">
        <v>909</v>
      </c>
    </row>
    <row r="297" spans="1:2">
      <c r="A297" s="254" t="s">
        <v>911</v>
      </c>
      <c r="B297" s="253" t="s">
        <v>912</v>
      </c>
    </row>
    <row r="298" spans="1:2">
      <c r="A298" s="254" t="s">
        <v>913</v>
      </c>
      <c r="B298" s="253" t="s">
        <v>912</v>
      </c>
    </row>
    <row r="299" spans="1:2">
      <c r="A299" s="254" t="s">
        <v>1519</v>
      </c>
      <c r="B299" s="253" t="s">
        <v>1520</v>
      </c>
    </row>
    <row r="300" spans="1:2">
      <c r="A300" s="254" t="s">
        <v>1521</v>
      </c>
      <c r="B300" s="253" t="s">
        <v>1522</v>
      </c>
    </row>
    <row r="301" spans="1:2">
      <c r="A301" s="254" t="s">
        <v>1523</v>
      </c>
      <c r="B301" s="253" t="s">
        <v>1524</v>
      </c>
    </row>
    <row r="302" spans="1:2">
      <c r="A302" s="254" t="s">
        <v>1525</v>
      </c>
      <c r="B302" s="253" t="s">
        <v>1526</v>
      </c>
    </row>
    <row r="303" spans="1:2">
      <c r="A303" s="254" t="s">
        <v>1527</v>
      </c>
      <c r="B303" s="253" t="s">
        <v>1528</v>
      </c>
    </row>
    <row r="304" spans="1:2">
      <c r="A304" s="254" t="s">
        <v>1529</v>
      </c>
      <c r="B304" s="253" t="s">
        <v>1530</v>
      </c>
    </row>
    <row r="305" spans="1:2">
      <c r="A305" s="254" t="s">
        <v>1531</v>
      </c>
      <c r="B305" s="253" t="s">
        <v>1532</v>
      </c>
    </row>
    <row r="306" spans="1:2">
      <c r="A306" s="254" t="s">
        <v>1533</v>
      </c>
      <c r="B306" s="253" t="s">
        <v>1534</v>
      </c>
    </row>
    <row r="307" spans="1:2">
      <c r="A307" s="254" t="s">
        <v>1535</v>
      </c>
      <c r="B307" s="253" t="s">
        <v>1536</v>
      </c>
    </row>
    <row r="308" spans="1:2">
      <c r="A308" s="254" t="s">
        <v>1537</v>
      </c>
      <c r="B308" s="253" t="s">
        <v>1538</v>
      </c>
    </row>
    <row r="309" spans="1:2">
      <c r="A309" s="254" t="s">
        <v>1539</v>
      </c>
      <c r="B309" s="253" t="s">
        <v>1540</v>
      </c>
    </row>
    <row r="310" spans="1:2">
      <c r="A310" s="254" t="s">
        <v>1541</v>
      </c>
      <c r="B310" s="253" t="s">
        <v>1542</v>
      </c>
    </row>
    <row r="311" spans="1:2">
      <c r="A311" s="254" t="s">
        <v>1543</v>
      </c>
      <c r="B311" s="253" t="s">
        <v>1544</v>
      </c>
    </row>
    <row r="312" spans="1:2">
      <c r="A312" s="254" t="s">
        <v>1545</v>
      </c>
      <c r="B312" s="253" t="s">
        <v>1546</v>
      </c>
    </row>
    <row r="313" spans="1:2">
      <c r="A313" s="254" t="s">
        <v>1547</v>
      </c>
      <c r="B313" s="253" t="s">
        <v>1548</v>
      </c>
    </row>
    <row r="314" spans="1:2">
      <c r="A314" s="254" t="s">
        <v>1549</v>
      </c>
      <c r="B314" s="253" t="s">
        <v>1550</v>
      </c>
    </row>
    <row r="315" spans="1:2">
      <c r="A315" s="254" t="s">
        <v>1551</v>
      </c>
      <c r="B315" s="253" t="s">
        <v>1552</v>
      </c>
    </row>
    <row r="316" spans="1:2">
      <c r="A316" s="254" t="s">
        <v>1553</v>
      </c>
      <c r="B316" s="253" t="s">
        <v>1554</v>
      </c>
    </row>
    <row r="317" spans="1:2">
      <c r="A317" s="254" t="s">
        <v>1555</v>
      </c>
      <c r="B317" s="253" t="s">
        <v>1556</v>
      </c>
    </row>
    <row r="318" spans="1:2">
      <c r="A318" s="254" t="s">
        <v>1557</v>
      </c>
      <c r="B318" s="253" t="s">
        <v>1558</v>
      </c>
    </row>
    <row r="319" spans="1:2">
      <c r="A319" s="254" t="s">
        <v>1559</v>
      </c>
      <c r="B319" s="253" t="s">
        <v>1560</v>
      </c>
    </row>
    <row r="320" spans="1:2">
      <c r="A320" s="254" t="s">
        <v>1561</v>
      </c>
      <c r="B320" s="253" t="s">
        <v>1562</v>
      </c>
    </row>
    <row r="321" spans="1:2">
      <c r="A321" s="254" t="s">
        <v>1563</v>
      </c>
      <c r="B321" s="253" t="s">
        <v>1564</v>
      </c>
    </row>
    <row r="322" spans="1:2">
      <c r="A322" s="254" t="s">
        <v>1565</v>
      </c>
      <c r="B322" s="253" t="s">
        <v>1566</v>
      </c>
    </row>
    <row r="323" spans="1:2">
      <c r="A323" s="254" t="s">
        <v>1567</v>
      </c>
      <c r="B323" s="253" t="s">
        <v>1568</v>
      </c>
    </row>
    <row r="324" spans="1:2">
      <c r="A324" s="254" t="s">
        <v>1569</v>
      </c>
      <c r="B324" s="253" t="s">
        <v>1570</v>
      </c>
    </row>
    <row r="325" spans="1:2">
      <c r="A325" s="254" t="s">
        <v>1571</v>
      </c>
      <c r="B325" s="253" t="s">
        <v>1572</v>
      </c>
    </row>
    <row r="326" spans="1:2">
      <c r="A326" s="254" t="s">
        <v>1573</v>
      </c>
      <c r="B326" s="253" t="s">
        <v>1574</v>
      </c>
    </row>
    <row r="327" spans="1:2">
      <c r="A327" s="254" t="s">
        <v>1575</v>
      </c>
      <c r="B327" s="253" t="s">
        <v>1576</v>
      </c>
    </row>
    <row r="328" spans="1:2">
      <c r="A328" s="254" t="s">
        <v>1577</v>
      </c>
      <c r="B328" s="253" t="s">
        <v>1578</v>
      </c>
    </row>
    <row r="329" spans="1:2">
      <c r="A329" s="254" t="s">
        <v>1579</v>
      </c>
      <c r="B329" s="253" t="s">
        <v>1580</v>
      </c>
    </row>
    <row r="330" spans="1:2">
      <c r="A330" s="254" t="s">
        <v>2520</v>
      </c>
      <c r="B330" s="253" t="s">
        <v>2521</v>
      </c>
    </row>
    <row r="331" spans="1:2">
      <c r="A331" s="254" t="s">
        <v>2522</v>
      </c>
      <c r="B331" s="253" t="s">
        <v>2523</v>
      </c>
    </row>
    <row r="332" spans="1:2">
      <c r="A332" s="254" t="s">
        <v>2524</v>
      </c>
      <c r="B332" s="253" t="s">
        <v>2525</v>
      </c>
    </row>
    <row r="333" spans="1:2">
      <c r="A333" s="254" t="s">
        <v>2526</v>
      </c>
      <c r="B333" s="253" t="s">
        <v>2527</v>
      </c>
    </row>
    <row r="334" spans="1:2">
      <c r="A334" s="254" t="s">
        <v>2528</v>
      </c>
      <c r="B334" s="253" t="s">
        <v>2529</v>
      </c>
    </row>
    <row r="335" spans="1:2">
      <c r="A335" s="254" t="s">
        <v>2530</v>
      </c>
      <c r="B335" s="253" t="s">
        <v>2531</v>
      </c>
    </row>
    <row r="336" spans="1:2">
      <c r="A336" s="254" t="s">
        <v>2532</v>
      </c>
      <c r="B336" s="253" t="s">
        <v>2533</v>
      </c>
    </row>
    <row r="337" spans="1:2">
      <c r="A337" s="254" t="s">
        <v>2534</v>
      </c>
      <c r="B337" s="253" t="s">
        <v>2535</v>
      </c>
    </row>
    <row r="338" spans="1:2">
      <c r="A338" s="254" t="s">
        <v>2536</v>
      </c>
      <c r="B338" s="253" t="s">
        <v>2537</v>
      </c>
    </row>
    <row r="339" spans="1:2">
      <c r="A339" s="254" t="s">
        <v>2538</v>
      </c>
      <c r="B339" s="253" t="s">
        <v>2539</v>
      </c>
    </row>
    <row r="340" spans="1:2">
      <c r="A340" s="254" t="s">
        <v>2540</v>
      </c>
      <c r="B340" s="253" t="s">
        <v>2541</v>
      </c>
    </row>
    <row r="341" spans="1:2">
      <c r="A341" s="254" t="s">
        <v>2542</v>
      </c>
      <c r="B341" s="253" t="s">
        <v>2543</v>
      </c>
    </row>
    <row r="342" spans="1:2">
      <c r="A342" s="254" t="s">
        <v>2544</v>
      </c>
      <c r="B342" s="253" t="s">
        <v>2545</v>
      </c>
    </row>
    <row r="343" spans="1:2">
      <c r="A343" s="254" t="s">
        <v>2546</v>
      </c>
      <c r="B343" s="253" t="s">
        <v>2547</v>
      </c>
    </row>
    <row r="344" spans="1:2">
      <c r="A344" s="254" t="s">
        <v>2548</v>
      </c>
      <c r="B344" s="253" t="s">
        <v>2549</v>
      </c>
    </row>
    <row r="345" spans="1:2">
      <c r="A345" s="254" t="s">
        <v>2550</v>
      </c>
      <c r="B345" s="253" t="s">
        <v>2551</v>
      </c>
    </row>
    <row r="346" spans="1:2">
      <c r="A346" s="254" t="s">
        <v>2552</v>
      </c>
      <c r="B346" s="253" t="s">
        <v>2553</v>
      </c>
    </row>
    <row r="347" spans="1:2">
      <c r="A347" s="254" t="s">
        <v>2554</v>
      </c>
      <c r="B347" s="253" t="s">
        <v>2555</v>
      </c>
    </row>
    <row r="348" spans="1:2">
      <c r="A348" s="254" t="s">
        <v>2556</v>
      </c>
      <c r="B348" s="253" t="s">
        <v>2557</v>
      </c>
    </row>
    <row r="349" spans="1:2">
      <c r="A349" s="254" t="s">
        <v>2558</v>
      </c>
      <c r="B349" s="253" t="s">
        <v>2559</v>
      </c>
    </row>
    <row r="350" spans="1:2">
      <c r="A350" s="254" t="s">
        <v>2560</v>
      </c>
      <c r="B350" s="253" t="s">
        <v>2561</v>
      </c>
    </row>
    <row r="351" spans="1:2">
      <c r="A351" s="254" t="s">
        <v>2562</v>
      </c>
      <c r="B351" s="253" t="s">
        <v>2563</v>
      </c>
    </row>
    <row r="352" spans="1:2">
      <c r="A352" s="254" t="s">
        <v>2564</v>
      </c>
      <c r="B352" s="253" t="s">
        <v>2565</v>
      </c>
    </row>
    <row r="353" spans="1:2">
      <c r="A353" s="254" t="s">
        <v>2566</v>
      </c>
      <c r="B353" s="253" t="s">
        <v>2567</v>
      </c>
    </row>
    <row r="354" spans="1:2">
      <c r="A354" s="254" t="s">
        <v>2568</v>
      </c>
      <c r="B354" s="253" t="s">
        <v>2569</v>
      </c>
    </row>
    <row r="355" spans="1:2">
      <c r="A355" s="254" t="s">
        <v>2570</v>
      </c>
      <c r="B355" s="253" t="s">
        <v>2571</v>
      </c>
    </row>
    <row r="356" spans="1:2">
      <c r="A356" s="254" t="s">
        <v>2572</v>
      </c>
      <c r="B356" s="253" t="s">
        <v>2573</v>
      </c>
    </row>
    <row r="357" spans="1:2">
      <c r="A357" s="254" t="s">
        <v>2574</v>
      </c>
      <c r="B357" s="253" t="s">
        <v>2575</v>
      </c>
    </row>
    <row r="358" spans="1:2">
      <c r="A358" s="254" t="s">
        <v>2576</v>
      </c>
      <c r="B358" s="253" t="s">
        <v>2577</v>
      </c>
    </row>
    <row r="359" spans="1:2">
      <c r="A359" s="254" t="s">
        <v>2578</v>
      </c>
      <c r="B359" s="253" t="s">
        <v>2579</v>
      </c>
    </row>
    <row r="360" spans="1:2">
      <c r="A360" s="254" t="s">
        <v>2580</v>
      </c>
      <c r="B360" s="253" t="s">
        <v>999</v>
      </c>
    </row>
    <row r="361" spans="1:2">
      <c r="A361" s="254" t="s">
        <v>2581</v>
      </c>
      <c r="B361" s="253" t="s">
        <v>1292</v>
      </c>
    </row>
    <row r="362" spans="1:2">
      <c r="A362" s="254" t="s">
        <v>2582</v>
      </c>
      <c r="B362" s="253" t="s">
        <v>2583</v>
      </c>
    </row>
    <row r="363" spans="1:2">
      <c r="A363" s="254" t="s">
        <v>2584</v>
      </c>
      <c r="B363" s="253" t="s">
        <v>2585</v>
      </c>
    </row>
    <row r="364" spans="1:2">
      <c r="A364" s="254" t="s">
        <v>2586</v>
      </c>
      <c r="B364" s="253" t="s">
        <v>2587</v>
      </c>
    </row>
    <row r="365" spans="1:2">
      <c r="A365" s="254" t="s">
        <v>2588</v>
      </c>
      <c r="B365" s="253" t="s">
        <v>2589</v>
      </c>
    </row>
    <row r="366" spans="1:2">
      <c r="A366" s="254" t="s">
        <v>2590</v>
      </c>
      <c r="B366" s="253" t="s">
        <v>2591</v>
      </c>
    </row>
    <row r="367" spans="1:2">
      <c r="A367" s="254" t="s">
        <v>2592</v>
      </c>
      <c r="B367" s="253" t="s">
        <v>2593</v>
      </c>
    </row>
    <row r="368" spans="1:2">
      <c r="A368" s="254" t="s">
        <v>2594</v>
      </c>
      <c r="B368" s="253" t="s">
        <v>2595</v>
      </c>
    </row>
    <row r="369" spans="1:2">
      <c r="A369" s="254" t="s">
        <v>2596</v>
      </c>
      <c r="B369" s="253" t="s">
        <v>2597</v>
      </c>
    </row>
    <row r="370" spans="1:2">
      <c r="A370" s="254" t="s">
        <v>2598</v>
      </c>
      <c r="B370" s="253" t="s">
        <v>2599</v>
      </c>
    </row>
    <row r="371" spans="1:2">
      <c r="A371" s="254" t="s">
        <v>2600</v>
      </c>
      <c r="B371" s="253" t="s">
        <v>2601</v>
      </c>
    </row>
    <row r="372" spans="1:2">
      <c r="A372" s="254" t="s">
        <v>2602</v>
      </c>
      <c r="B372" s="253" t="s">
        <v>2603</v>
      </c>
    </row>
    <row r="373" spans="1:2">
      <c r="A373" s="254" t="s">
        <v>2604</v>
      </c>
      <c r="B373" s="253" t="s">
        <v>2605</v>
      </c>
    </row>
    <row r="374" spans="1:2">
      <c r="A374" s="249" t="s">
        <v>142</v>
      </c>
      <c r="B374" s="250" t="s">
        <v>2126</v>
      </c>
    </row>
    <row r="375" spans="1:2">
      <c r="A375" s="254" t="s">
        <v>914</v>
      </c>
      <c r="B375" s="253" t="s">
        <v>915</v>
      </c>
    </row>
    <row r="376" spans="1:2">
      <c r="A376" s="254" t="s">
        <v>916</v>
      </c>
      <c r="B376" s="253" t="s">
        <v>917</v>
      </c>
    </row>
    <row r="377" spans="1:2">
      <c r="A377" s="254" t="s">
        <v>918</v>
      </c>
      <c r="B377" s="253" t="s">
        <v>919</v>
      </c>
    </row>
    <row r="378" spans="1:2">
      <c r="A378" s="254" t="s">
        <v>920</v>
      </c>
      <c r="B378" s="253" t="s">
        <v>921</v>
      </c>
    </row>
    <row r="379" spans="1:2">
      <c r="A379" s="254" t="s">
        <v>922</v>
      </c>
      <c r="B379" s="253" t="s">
        <v>923</v>
      </c>
    </row>
    <row r="380" spans="1:2">
      <c r="A380" s="254" t="s">
        <v>924</v>
      </c>
      <c r="B380" s="253" t="s">
        <v>925</v>
      </c>
    </row>
    <row r="381" spans="1:2">
      <c r="A381" s="254" t="s">
        <v>926</v>
      </c>
      <c r="B381" s="253" t="s">
        <v>927</v>
      </c>
    </row>
    <row r="382" spans="1:2">
      <c r="A382" s="254" t="s">
        <v>928</v>
      </c>
      <c r="B382" s="253" t="s">
        <v>929</v>
      </c>
    </row>
    <row r="383" spans="1:2">
      <c r="A383" s="254" t="s">
        <v>930</v>
      </c>
      <c r="B383" s="253" t="s">
        <v>931</v>
      </c>
    </row>
    <row r="384" spans="1:2">
      <c r="A384" s="254" t="s">
        <v>932</v>
      </c>
      <c r="B384" s="253" t="s">
        <v>933</v>
      </c>
    </row>
    <row r="385" spans="1:2">
      <c r="A385" s="254" t="s">
        <v>934</v>
      </c>
      <c r="B385" s="253" t="s">
        <v>935</v>
      </c>
    </row>
    <row r="386" spans="1:2">
      <c r="A386" s="254" t="s">
        <v>936</v>
      </c>
      <c r="B386" s="253" t="s">
        <v>937</v>
      </c>
    </row>
    <row r="387" spans="1:2">
      <c r="A387" s="254" t="s">
        <v>938</v>
      </c>
      <c r="B387" s="253" t="s">
        <v>939</v>
      </c>
    </row>
    <row r="388" spans="1:2">
      <c r="A388" s="254" t="s">
        <v>940</v>
      </c>
      <c r="B388" s="253" t="s">
        <v>941</v>
      </c>
    </row>
    <row r="389" spans="1:2">
      <c r="A389" s="254" t="s">
        <v>942</v>
      </c>
      <c r="B389" s="253" t="s">
        <v>943</v>
      </c>
    </row>
    <row r="390" spans="1:2">
      <c r="A390" s="254" t="s">
        <v>944</v>
      </c>
      <c r="B390" s="253" t="s">
        <v>945</v>
      </c>
    </row>
    <row r="391" spans="1:2">
      <c r="A391" s="254" t="s">
        <v>946</v>
      </c>
      <c r="B391" s="253" t="s">
        <v>947</v>
      </c>
    </row>
    <row r="392" spans="1:2">
      <c r="A392" s="254" t="s">
        <v>948</v>
      </c>
      <c r="B392" s="253" t="s">
        <v>949</v>
      </c>
    </row>
    <row r="393" spans="1:2">
      <c r="A393" s="254" t="s">
        <v>950</v>
      </c>
      <c r="B393" s="253" t="s">
        <v>951</v>
      </c>
    </row>
    <row r="394" spans="1:2">
      <c r="A394" s="254" t="s">
        <v>952</v>
      </c>
      <c r="B394" s="253" t="s">
        <v>953</v>
      </c>
    </row>
    <row r="395" spans="1:2">
      <c r="A395" s="254" t="s">
        <v>954</v>
      </c>
      <c r="B395" s="253" t="s">
        <v>955</v>
      </c>
    </row>
    <row r="396" spans="1:2">
      <c r="A396" s="254" t="s">
        <v>956</v>
      </c>
      <c r="B396" s="253" t="s">
        <v>957</v>
      </c>
    </row>
    <row r="397" spans="1:2">
      <c r="A397" s="254" t="s">
        <v>958</v>
      </c>
      <c r="B397" s="253" t="s">
        <v>959</v>
      </c>
    </row>
    <row r="398" spans="1:2">
      <c r="A398" s="254" t="s">
        <v>960</v>
      </c>
      <c r="B398" s="253" t="s">
        <v>961</v>
      </c>
    </row>
    <row r="399" spans="1:2">
      <c r="A399" s="254" t="s">
        <v>962</v>
      </c>
      <c r="B399" s="253" t="s">
        <v>963</v>
      </c>
    </row>
    <row r="400" spans="1:2">
      <c r="A400" s="254" t="s">
        <v>964</v>
      </c>
      <c r="B400" s="253" t="s">
        <v>965</v>
      </c>
    </row>
    <row r="401" spans="1:2">
      <c r="A401" s="254" t="s">
        <v>966</v>
      </c>
      <c r="B401" s="253" t="s">
        <v>967</v>
      </c>
    </row>
    <row r="402" spans="1:2">
      <c r="A402" s="254" t="s">
        <v>968</v>
      </c>
      <c r="B402" s="253" t="s">
        <v>969</v>
      </c>
    </row>
    <row r="403" spans="1:2">
      <c r="A403" s="254" t="s">
        <v>970</v>
      </c>
      <c r="B403" s="253" t="s">
        <v>971</v>
      </c>
    </row>
    <row r="404" spans="1:2">
      <c r="A404" s="254" t="s">
        <v>972</v>
      </c>
      <c r="B404" s="253" t="s">
        <v>973</v>
      </c>
    </row>
    <row r="405" spans="1:2">
      <c r="A405" s="254" t="s">
        <v>974</v>
      </c>
      <c r="B405" s="253" t="s">
        <v>975</v>
      </c>
    </row>
    <row r="406" spans="1:2">
      <c r="A406" s="254" t="s">
        <v>976</v>
      </c>
      <c r="B406" s="253" t="s">
        <v>977</v>
      </c>
    </row>
    <row r="407" spans="1:2">
      <c r="A407" s="254" t="s">
        <v>978</v>
      </c>
      <c r="B407" s="253" t="s">
        <v>979</v>
      </c>
    </row>
    <row r="408" spans="1:2">
      <c r="A408" s="254" t="s">
        <v>980</v>
      </c>
      <c r="B408" s="253" t="s">
        <v>981</v>
      </c>
    </row>
    <row r="409" spans="1:2">
      <c r="A409" s="254" t="s">
        <v>982</v>
      </c>
      <c r="B409" s="253" t="s">
        <v>983</v>
      </c>
    </row>
    <row r="410" spans="1:2">
      <c r="A410" s="254" t="s">
        <v>1581</v>
      </c>
      <c r="B410" s="253" t="s">
        <v>1582</v>
      </c>
    </row>
    <row r="411" spans="1:2">
      <c r="A411" s="254" t="s">
        <v>1583</v>
      </c>
      <c r="B411" s="253" t="s">
        <v>1584</v>
      </c>
    </row>
    <row r="412" spans="1:2">
      <c r="A412" s="254" t="s">
        <v>1585</v>
      </c>
      <c r="B412" s="253" t="s">
        <v>1586</v>
      </c>
    </row>
    <row r="413" spans="1:2">
      <c r="A413" s="254" t="s">
        <v>1587</v>
      </c>
      <c r="B413" s="253" t="s">
        <v>1588</v>
      </c>
    </row>
    <row r="414" spans="1:2">
      <c r="A414" s="254" t="s">
        <v>1589</v>
      </c>
      <c r="B414" s="253" t="s">
        <v>1590</v>
      </c>
    </row>
    <row r="415" spans="1:2">
      <c r="A415" s="254" t="s">
        <v>1591</v>
      </c>
      <c r="B415" s="253" t="s">
        <v>1592</v>
      </c>
    </row>
    <row r="416" spans="1:2">
      <c r="A416" s="254" t="s">
        <v>1593</v>
      </c>
      <c r="B416" s="253" t="s">
        <v>1594</v>
      </c>
    </row>
    <row r="417" spans="1:2">
      <c r="A417" s="254" t="s">
        <v>1595</v>
      </c>
      <c r="B417" s="253" t="s">
        <v>1596</v>
      </c>
    </row>
    <row r="418" spans="1:2">
      <c r="A418" s="254" t="s">
        <v>1597</v>
      </c>
      <c r="B418" s="253" t="s">
        <v>1598</v>
      </c>
    </row>
    <row r="419" spans="1:2">
      <c r="A419" s="254" t="s">
        <v>1599</v>
      </c>
      <c r="B419" s="253" t="s">
        <v>1600</v>
      </c>
    </row>
    <row r="420" spans="1:2">
      <c r="A420" s="254" t="s">
        <v>1601</v>
      </c>
      <c r="B420" s="253" t="s">
        <v>1602</v>
      </c>
    </row>
    <row r="421" spans="1:2">
      <c r="A421" s="254" t="s">
        <v>1603</v>
      </c>
      <c r="B421" s="253" t="s">
        <v>1604</v>
      </c>
    </row>
    <row r="422" spans="1:2">
      <c r="A422" s="254" t="s">
        <v>1605</v>
      </c>
      <c r="B422" s="253" t="s">
        <v>1606</v>
      </c>
    </row>
    <row r="423" spans="1:2">
      <c r="A423" s="254" t="s">
        <v>1607</v>
      </c>
      <c r="B423" s="253" t="s">
        <v>1608</v>
      </c>
    </row>
    <row r="424" spans="1:2">
      <c r="A424" s="254" t="s">
        <v>1609</v>
      </c>
      <c r="B424" s="253" t="s">
        <v>1610</v>
      </c>
    </row>
    <row r="425" spans="1:2">
      <c r="A425" s="254" t="s">
        <v>1611</v>
      </c>
      <c r="B425" s="253" t="s">
        <v>1612</v>
      </c>
    </row>
    <row r="426" spans="1:2">
      <c r="A426" s="254" t="s">
        <v>1613</v>
      </c>
      <c r="B426" s="253" t="s">
        <v>1614</v>
      </c>
    </row>
    <row r="427" spans="1:2">
      <c r="A427" s="254" t="s">
        <v>1615</v>
      </c>
      <c r="B427" s="253" t="s">
        <v>1616</v>
      </c>
    </row>
    <row r="428" spans="1:2">
      <c r="A428" s="254" t="s">
        <v>1617</v>
      </c>
      <c r="B428" s="253" t="s">
        <v>1618</v>
      </c>
    </row>
    <row r="429" spans="1:2">
      <c r="A429" s="254" t="s">
        <v>1619</v>
      </c>
      <c r="B429" s="253" t="s">
        <v>1620</v>
      </c>
    </row>
    <row r="430" spans="1:2">
      <c r="A430" s="254" t="s">
        <v>1621</v>
      </c>
      <c r="B430" s="253" t="s">
        <v>1622</v>
      </c>
    </row>
    <row r="431" spans="1:2">
      <c r="A431" s="254" t="s">
        <v>1623</v>
      </c>
      <c r="B431" s="253" t="s">
        <v>1624</v>
      </c>
    </row>
    <row r="432" spans="1:2">
      <c r="A432" s="254" t="s">
        <v>1625</v>
      </c>
      <c r="B432" s="253" t="s">
        <v>1626</v>
      </c>
    </row>
    <row r="433" spans="1:2">
      <c r="A433" s="254" t="s">
        <v>1627</v>
      </c>
      <c r="B433" s="253" t="s">
        <v>1628</v>
      </c>
    </row>
    <row r="434" spans="1:2">
      <c r="A434" s="254" t="s">
        <v>1629</v>
      </c>
      <c r="B434" s="253" t="s">
        <v>1630</v>
      </c>
    </row>
    <row r="435" spans="1:2">
      <c r="A435" s="254" t="s">
        <v>1631</v>
      </c>
      <c r="B435" s="253" t="s">
        <v>1632</v>
      </c>
    </row>
    <row r="436" spans="1:2">
      <c r="A436" s="254" t="s">
        <v>1633</v>
      </c>
      <c r="B436" s="253" t="s">
        <v>1634</v>
      </c>
    </row>
    <row r="437" spans="1:2">
      <c r="A437" s="254" t="s">
        <v>1635</v>
      </c>
      <c r="B437" s="253" t="s">
        <v>1636</v>
      </c>
    </row>
    <row r="438" spans="1:2">
      <c r="A438" s="254" t="s">
        <v>1637</v>
      </c>
      <c r="B438" s="253" t="s">
        <v>1638</v>
      </c>
    </row>
    <row r="439" spans="1:2">
      <c r="A439" s="254" t="s">
        <v>1639</v>
      </c>
      <c r="B439" s="253" t="s">
        <v>1640</v>
      </c>
    </row>
    <row r="440" spans="1:2">
      <c r="A440" s="254" t="s">
        <v>1641</v>
      </c>
      <c r="B440" s="253" t="s">
        <v>1642</v>
      </c>
    </row>
    <row r="441" spans="1:2">
      <c r="A441" s="254" t="s">
        <v>1643</v>
      </c>
      <c r="B441" s="253" t="s">
        <v>1644</v>
      </c>
    </row>
    <row r="442" spans="1:2">
      <c r="A442" s="254" t="s">
        <v>1645</v>
      </c>
      <c r="B442" s="253" t="s">
        <v>1646</v>
      </c>
    </row>
    <row r="443" spans="1:2">
      <c r="A443" s="254" t="s">
        <v>1647</v>
      </c>
      <c r="B443" s="253" t="s">
        <v>1648</v>
      </c>
    </row>
    <row r="444" spans="1:2">
      <c r="A444" s="254" t="s">
        <v>1649</v>
      </c>
      <c r="B444" s="253" t="s">
        <v>1650</v>
      </c>
    </row>
    <row r="445" spans="1:2">
      <c r="A445" s="254" t="s">
        <v>1651</v>
      </c>
      <c r="B445" s="253" t="s">
        <v>1652</v>
      </c>
    </row>
    <row r="446" spans="1:2">
      <c r="A446" s="254" t="s">
        <v>1653</v>
      </c>
      <c r="B446" s="253" t="s">
        <v>1654</v>
      </c>
    </row>
    <row r="447" spans="1:2">
      <c r="A447" s="254" t="s">
        <v>1655</v>
      </c>
      <c r="B447" s="253" t="s">
        <v>1656</v>
      </c>
    </row>
    <row r="448" spans="1:2">
      <c r="A448" s="254" t="s">
        <v>1657</v>
      </c>
      <c r="B448" s="253" t="s">
        <v>1658</v>
      </c>
    </row>
    <row r="449" spans="1:2">
      <c r="A449" s="254" t="s">
        <v>1659</v>
      </c>
      <c r="B449" s="253" t="s">
        <v>1660</v>
      </c>
    </row>
    <row r="450" spans="1:2">
      <c r="A450" s="254" t="s">
        <v>1661</v>
      </c>
      <c r="B450" s="253" t="s">
        <v>1662</v>
      </c>
    </row>
    <row r="451" spans="1:2">
      <c r="A451" s="254" t="s">
        <v>1663</v>
      </c>
      <c r="B451" s="253" t="s">
        <v>1664</v>
      </c>
    </row>
    <row r="452" spans="1:2">
      <c r="A452" s="254" t="s">
        <v>1665</v>
      </c>
      <c r="B452" s="253" t="s">
        <v>1666</v>
      </c>
    </row>
    <row r="453" spans="1:2">
      <c r="A453" s="254" t="s">
        <v>1667</v>
      </c>
      <c r="B453" s="253" t="s">
        <v>1668</v>
      </c>
    </row>
    <row r="454" spans="1:2">
      <c r="A454" s="254" t="s">
        <v>1669</v>
      </c>
      <c r="B454" s="253" t="s">
        <v>1670</v>
      </c>
    </row>
    <row r="455" spans="1:2">
      <c r="A455" s="254" t="s">
        <v>1671</v>
      </c>
      <c r="B455" s="253" t="s">
        <v>1672</v>
      </c>
    </row>
    <row r="456" spans="1:2">
      <c r="A456" s="254" t="s">
        <v>1673</v>
      </c>
      <c r="B456" s="253" t="s">
        <v>1674</v>
      </c>
    </row>
    <row r="457" spans="1:2">
      <c r="A457" s="254" t="s">
        <v>1675</v>
      </c>
      <c r="B457" s="253" t="s">
        <v>1676</v>
      </c>
    </row>
    <row r="458" spans="1:2">
      <c r="A458" s="254" t="s">
        <v>1677</v>
      </c>
      <c r="B458" s="253" t="s">
        <v>1678</v>
      </c>
    </row>
    <row r="459" spans="1:2">
      <c r="A459" s="254" t="s">
        <v>1679</v>
      </c>
      <c r="B459" s="253" t="s">
        <v>1680</v>
      </c>
    </row>
    <row r="460" spans="1:2">
      <c r="A460" s="254" t="s">
        <v>1681</v>
      </c>
      <c r="B460" s="253" t="s">
        <v>1682</v>
      </c>
    </row>
    <row r="461" spans="1:2">
      <c r="A461" s="254" t="s">
        <v>1683</v>
      </c>
      <c r="B461" s="253" t="s">
        <v>1684</v>
      </c>
    </row>
    <row r="462" spans="1:2">
      <c r="A462" s="254" t="s">
        <v>1685</v>
      </c>
      <c r="B462" s="253" t="s">
        <v>1686</v>
      </c>
    </row>
    <row r="463" spans="1:2">
      <c r="A463" s="254" t="s">
        <v>1687</v>
      </c>
      <c r="B463" s="253" t="s">
        <v>1688</v>
      </c>
    </row>
    <row r="464" spans="1:2">
      <c r="A464" s="254" t="s">
        <v>1689</v>
      </c>
      <c r="B464" s="253" t="s">
        <v>1690</v>
      </c>
    </row>
    <row r="465" spans="1:2">
      <c r="A465" s="254" t="s">
        <v>1691</v>
      </c>
      <c r="B465" s="253" t="s">
        <v>1692</v>
      </c>
    </row>
    <row r="466" spans="1:2">
      <c r="A466" s="254" t="s">
        <v>1693</v>
      </c>
      <c r="B466" s="253" t="s">
        <v>1694</v>
      </c>
    </row>
    <row r="467" spans="1:2">
      <c r="A467" s="254" t="s">
        <v>1695</v>
      </c>
      <c r="B467" s="253" t="s">
        <v>1696</v>
      </c>
    </row>
    <row r="468" spans="1:2">
      <c r="A468" s="254" t="s">
        <v>1697</v>
      </c>
      <c r="B468" s="253" t="s">
        <v>1698</v>
      </c>
    </row>
    <row r="469" spans="1:2">
      <c r="A469" s="254" t="s">
        <v>1699</v>
      </c>
      <c r="B469" s="253" t="s">
        <v>1700</v>
      </c>
    </row>
    <row r="470" spans="1:2">
      <c r="A470" s="254" t="s">
        <v>1701</v>
      </c>
      <c r="B470" s="253" t="s">
        <v>1702</v>
      </c>
    </row>
    <row r="471" spans="1:2">
      <c r="A471" s="254" t="s">
        <v>1703</v>
      </c>
      <c r="B471" s="253" t="s">
        <v>1704</v>
      </c>
    </row>
    <row r="472" spans="1:2">
      <c r="A472" s="254" t="s">
        <v>1705</v>
      </c>
      <c r="B472" s="253" t="s">
        <v>1706</v>
      </c>
    </row>
    <row r="473" spans="1:2">
      <c r="A473" s="254" t="s">
        <v>1707</v>
      </c>
      <c r="B473" s="253" t="s">
        <v>1708</v>
      </c>
    </row>
    <row r="474" spans="1:2">
      <c r="A474" s="254" t="s">
        <v>1709</v>
      </c>
      <c r="B474" s="253" t="s">
        <v>1710</v>
      </c>
    </row>
    <row r="475" spans="1:2">
      <c r="A475" s="254" t="s">
        <v>1711</v>
      </c>
      <c r="B475" s="253" t="s">
        <v>1712</v>
      </c>
    </row>
    <row r="476" spans="1:2">
      <c r="A476" s="254" t="s">
        <v>1713</v>
      </c>
      <c r="B476" s="253" t="s">
        <v>1714</v>
      </c>
    </row>
    <row r="477" spans="1:2">
      <c r="A477" s="254" t="s">
        <v>1715</v>
      </c>
      <c r="B477" s="253" t="s">
        <v>1716</v>
      </c>
    </row>
    <row r="478" spans="1:2">
      <c r="A478" s="254" t="s">
        <v>1717</v>
      </c>
      <c r="B478" s="253" t="s">
        <v>1718</v>
      </c>
    </row>
    <row r="479" spans="1:2">
      <c r="A479" s="254" t="s">
        <v>1719</v>
      </c>
      <c r="B479" s="253" t="s">
        <v>1720</v>
      </c>
    </row>
    <row r="480" spans="1:2">
      <c r="A480" s="254" t="s">
        <v>1721</v>
      </c>
      <c r="B480" s="253" t="s">
        <v>1722</v>
      </c>
    </row>
    <row r="481" spans="1:2">
      <c r="A481" s="254" t="s">
        <v>1723</v>
      </c>
      <c r="B481" s="253" t="s">
        <v>1724</v>
      </c>
    </row>
    <row r="482" spans="1:2">
      <c r="A482" s="254" t="s">
        <v>1725</v>
      </c>
      <c r="B482" s="253" t="s">
        <v>1726</v>
      </c>
    </row>
    <row r="483" spans="1:2">
      <c r="A483" s="254" t="s">
        <v>1727</v>
      </c>
      <c r="B483" s="253" t="s">
        <v>1728</v>
      </c>
    </row>
    <row r="484" spans="1:2">
      <c r="A484" s="254" t="s">
        <v>1729</v>
      </c>
      <c r="B484" s="253" t="s">
        <v>1730</v>
      </c>
    </row>
    <row r="485" spans="1:2">
      <c r="A485" s="254" t="s">
        <v>1731</v>
      </c>
      <c r="B485" s="253" t="s">
        <v>1732</v>
      </c>
    </row>
    <row r="486" spans="1:2">
      <c r="A486" s="254" t="s">
        <v>1733</v>
      </c>
      <c r="B486" s="253" t="s">
        <v>1734</v>
      </c>
    </row>
    <row r="487" spans="1:2">
      <c r="A487" s="254" t="s">
        <v>1735</v>
      </c>
      <c r="B487" s="253" t="s">
        <v>1736</v>
      </c>
    </row>
    <row r="488" spans="1:2">
      <c r="A488" s="254" t="s">
        <v>1737</v>
      </c>
      <c r="B488" s="253" t="s">
        <v>1738</v>
      </c>
    </row>
    <row r="489" spans="1:2">
      <c r="A489" s="254" t="s">
        <v>1739</v>
      </c>
      <c r="B489" s="253" t="s">
        <v>1740</v>
      </c>
    </row>
    <row r="490" spans="1:2">
      <c r="A490" s="254" t="s">
        <v>1741</v>
      </c>
      <c r="B490" s="253" t="s">
        <v>1742</v>
      </c>
    </row>
    <row r="491" spans="1:2">
      <c r="A491" s="254" t="s">
        <v>1743</v>
      </c>
      <c r="B491" s="253" t="s">
        <v>1744</v>
      </c>
    </row>
    <row r="492" spans="1:2">
      <c r="A492" s="254" t="s">
        <v>1745</v>
      </c>
      <c r="B492" s="253" t="s">
        <v>1746</v>
      </c>
    </row>
    <row r="493" spans="1:2">
      <c r="A493" s="254" t="s">
        <v>1747</v>
      </c>
      <c r="B493" s="253" t="s">
        <v>1748</v>
      </c>
    </row>
    <row r="494" spans="1:2">
      <c r="A494" s="254" t="s">
        <v>1749</v>
      </c>
      <c r="B494" s="253" t="s">
        <v>1750</v>
      </c>
    </row>
    <row r="495" spans="1:2">
      <c r="A495" s="254" t="s">
        <v>1751</v>
      </c>
      <c r="B495" s="253" t="s">
        <v>1752</v>
      </c>
    </row>
    <row r="496" spans="1:2">
      <c r="A496" s="254" t="s">
        <v>1753</v>
      </c>
      <c r="B496" s="253" t="s">
        <v>1754</v>
      </c>
    </row>
    <row r="497" spans="1:2">
      <c r="A497" s="254" t="s">
        <v>1755</v>
      </c>
      <c r="B497" s="253" t="s">
        <v>1756</v>
      </c>
    </row>
    <row r="498" spans="1:2">
      <c r="A498" s="254" t="s">
        <v>1757</v>
      </c>
      <c r="B498" s="253" t="s">
        <v>1758</v>
      </c>
    </row>
    <row r="499" spans="1:2">
      <c r="A499" s="254" t="s">
        <v>2606</v>
      </c>
      <c r="B499" s="253" t="s">
        <v>2607</v>
      </c>
    </row>
    <row r="500" spans="1:2">
      <c r="A500" s="254" t="s">
        <v>2608</v>
      </c>
      <c r="B500" s="253" t="s">
        <v>2609</v>
      </c>
    </row>
    <row r="501" spans="1:2">
      <c r="A501" s="254" t="s">
        <v>2610</v>
      </c>
      <c r="B501" s="253" t="s">
        <v>2611</v>
      </c>
    </row>
    <row r="502" spans="1:2">
      <c r="A502" s="254" t="s">
        <v>2612</v>
      </c>
      <c r="B502" s="253" t="s">
        <v>2613</v>
      </c>
    </row>
    <row r="503" spans="1:2">
      <c r="A503" s="254" t="s">
        <v>2614</v>
      </c>
      <c r="B503" s="253" t="s">
        <v>2615</v>
      </c>
    </row>
    <row r="504" spans="1:2">
      <c r="A504" s="254" t="s">
        <v>2616</v>
      </c>
      <c r="B504" s="253" t="s">
        <v>2617</v>
      </c>
    </row>
    <row r="505" spans="1:2">
      <c r="A505" s="254" t="s">
        <v>2618</v>
      </c>
      <c r="B505" s="253" t="s">
        <v>2619</v>
      </c>
    </row>
    <row r="506" spans="1:2">
      <c r="A506" s="254" t="s">
        <v>2620</v>
      </c>
      <c r="B506" s="253" t="s">
        <v>2621</v>
      </c>
    </row>
    <row r="507" spans="1:2">
      <c r="A507" s="254" t="s">
        <v>2622</v>
      </c>
      <c r="B507" s="253" t="s">
        <v>2623</v>
      </c>
    </row>
    <row r="508" spans="1:2">
      <c r="A508" s="254" t="s">
        <v>2624</v>
      </c>
      <c r="B508" s="253" t="s">
        <v>2625</v>
      </c>
    </row>
    <row r="509" spans="1:2">
      <c r="A509" s="254" t="s">
        <v>2626</v>
      </c>
      <c r="B509" s="253" t="s">
        <v>2627</v>
      </c>
    </row>
    <row r="510" spans="1:2">
      <c r="A510" s="254" t="s">
        <v>2628</v>
      </c>
      <c r="B510" s="253" t="s">
        <v>2629</v>
      </c>
    </row>
    <row r="511" spans="1:2">
      <c r="A511" s="254" t="s">
        <v>2630</v>
      </c>
      <c r="B511" s="253" t="s">
        <v>2631</v>
      </c>
    </row>
    <row r="512" spans="1:2">
      <c r="A512" s="254" t="s">
        <v>2632</v>
      </c>
      <c r="B512" s="253" t="s">
        <v>2633</v>
      </c>
    </row>
    <row r="513" spans="1:2">
      <c r="A513" s="254" t="s">
        <v>2634</v>
      </c>
      <c r="B513" s="253" t="s">
        <v>2635</v>
      </c>
    </row>
    <row r="514" spans="1:2">
      <c r="A514" s="254" t="s">
        <v>2636</v>
      </c>
      <c r="B514" s="253" t="s">
        <v>2637</v>
      </c>
    </row>
    <row r="515" spans="1:2">
      <c r="A515" s="254" t="s">
        <v>2638</v>
      </c>
      <c r="B515" s="253" t="s">
        <v>2639</v>
      </c>
    </row>
    <row r="516" spans="1:2">
      <c r="A516" s="254" t="s">
        <v>2640</v>
      </c>
      <c r="B516" s="253" t="s">
        <v>2641</v>
      </c>
    </row>
    <row r="517" spans="1:2">
      <c r="A517" s="254" t="s">
        <v>2642</v>
      </c>
      <c r="B517" s="253" t="s">
        <v>2643</v>
      </c>
    </row>
    <row r="518" spans="1:2">
      <c r="A518" s="254" t="s">
        <v>2644</v>
      </c>
      <c r="B518" s="253" t="s">
        <v>2645</v>
      </c>
    </row>
    <row r="519" spans="1:2">
      <c r="A519" s="254" t="s">
        <v>2646</v>
      </c>
      <c r="B519" s="253" t="s">
        <v>2647</v>
      </c>
    </row>
    <row r="520" spans="1:2">
      <c r="A520" s="254" t="s">
        <v>2648</v>
      </c>
      <c r="B520" s="253" t="s">
        <v>2649</v>
      </c>
    </row>
    <row r="521" spans="1:2">
      <c r="A521" s="254" t="s">
        <v>2650</v>
      </c>
      <c r="B521" s="253" t="s">
        <v>2651</v>
      </c>
    </row>
    <row r="522" spans="1:2">
      <c r="A522" s="254" t="s">
        <v>2652</v>
      </c>
      <c r="B522" s="253" t="s">
        <v>2653</v>
      </c>
    </row>
    <row r="523" spans="1:2">
      <c r="A523" s="254" t="s">
        <v>2654</v>
      </c>
      <c r="B523" s="253" t="s">
        <v>2655</v>
      </c>
    </row>
    <row r="524" spans="1:2">
      <c r="A524" s="254" t="s">
        <v>2656</v>
      </c>
      <c r="B524" s="253" t="s">
        <v>2657</v>
      </c>
    </row>
    <row r="525" spans="1:2">
      <c r="A525" s="254" t="s">
        <v>2658</v>
      </c>
      <c r="B525" s="253" t="s">
        <v>2659</v>
      </c>
    </row>
    <row r="526" spans="1:2">
      <c r="A526" s="254" t="s">
        <v>2660</v>
      </c>
      <c r="B526" s="253" t="s">
        <v>2661</v>
      </c>
    </row>
    <row r="527" spans="1:2">
      <c r="A527" s="254" t="s">
        <v>2662</v>
      </c>
      <c r="B527" s="253" t="s">
        <v>2663</v>
      </c>
    </row>
    <row r="528" spans="1:2">
      <c r="A528" s="254" t="s">
        <v>2664</v>
      </c>
      <c r="B528" s="253" t="s">
        <v>2665</v>
      </c>
    </row>
    <row r="529" spans="1:2">
      <c r="A529" s="254" t="s">
        <v>2666</v>
      </c>
      <c r="B529" s="253" t="s">
        <v>2667</v>
      </c>
    </row>
    <row r="530" spans="1:2">
      <c r="A530" s="254" t="s">
        <v>2668</v>
      </c>
      <c r="B530" s="253" t="s">
        <v>2669</v>
      </c>
    </row>
    <row r="531" spans="1:2">
      <c r="A531" s="254" t="s">
        <v>2670</v>
      </c>
      <c r="B531" s="253" t="s">
        <v>2671</v>
      </c>
    </row>
    <row r="532" spans="1:2">
      <c r="A532" s="254" t="s">
        <v>2672</v>
      </c>
      <c r="B532" s="253" t="s">
        <v>2673</v>
      </c>
    </row>
    <row r="533" spans="1:2">
      <c r="A533" s="254" t="s">
        <v>2674</v>
      </c>
      <c r="B533" s="253" t="s">
        <v>2675</v>
      </c>
    </row>
    <row r="534" spans="1:2">
      <c r="A534" s="254" t="s">
        <v>2676</v>
      </c>
      <c r="B534" s="253" t="s">
        <v>2677</v>
      </c>
    </row>
    <row r="535" spans="1:2">
      <c r="A535" s="254" t="s">
        <v>2678</v>
      </c>
      <c r="B535" s="253" t="s">
        <v>2679</v>
      </c>
    </row>
    <row r="536" spans="1:2">
      <c r="A536" s="254" t="s">
        <v>2680</v>
      </c>
      <c r="B536" s="253" t="s">
        <v>2681</v>
      </c>
    </row>
    <row r="537" spans="1:2">
      <c r="A537" s="254" t="s">
        <v>2682</v>
      </c>
      <c r="B537" s="253" t="s">
        <v>2683</v>
      </c>
    </row>
    <row r="538" spans="1:2">
      <c r="A538" s="254" t="s">
        <v>2684</v>
      </c>
      <c r="B538" s="253" t="s">
        <v>1584</v>
      </c>
    </row>
    <row r="539" spans="1:2">
      <c r="A539" s="254" t="s">
        <v>2685</v>
      </c>
      <c r="B539" s="253" t="s">
        <v>2686</v>
      </c>
    </row>
    <row r="540" spans="1:2">
      <c r="A540" s="254" t="s">
        <v>2687</v>
      </c>
      <c r="B540" s="253" t="s">
        <v>2688</v>
      </c>
    </row>
    <row r="541" spans="1:2">
      <c r="A541" s="254" t="s">
        <v>2689</v>
      </c>
      <c r="B541" s="253" t="s">
        <v>2690</v>
      </c>
    </row>
    <row r="542" spans="1:2">
      <c r="A542" s="254" t="s">
        <v>2691</v>
      </c>
      <c r="B542" s="253" t="s">
        <v>2692</v>
      </c>
    </row>
    <row r="543" spans="1:2">
      <c r="A543" s="254" t="s">
        <v>2693</v>
      </c>
      <c r="B543" s="253" t="s">
        <v>2694</v>
      </c>
    </row>
    <row r="544" spans="1:2">
      <c r="A544" s="254" t="s">
        <v>2695</v>
      </c>
      <c r="B544" s="253" t="s">
        <v>2696</v>
      </c>
    </row>
    <row r="545" spans="1:2">
      <c r="A545" s="254" t="s">
        <v>2697</v>
      </c>
      <c r="B545" s="253" t="s">
        <v>2698</v>
      </c>
    </row>
    <row r="546" spans="1:2">
      <c r="A546" s="254" t="s">
        <v>2699</v>
      </c>
      <c r="B546" s="253" t="s">
        <v>2700</v>
      </c>
    </row>
    <row r="547" spans="1:2">
      <c r="A547" s="254" t="s">
        <v>2701</v>
      </c>
      <c r="B547" s="253" t="s">
        <v>2702</v>
      </c>
    </row>
    <row r="548" spans="1:2">
      <c r="A548" s="254" t="s">
        <v>2703</v>
      </c>
      <c r="B548" s="253" t="s">
        <v>2704</v>
      </c>
    </row>
    <row r="549" spans="1:2">
      <c r="A549" s="254" t="s">
        <v>2705</v>
      </c>
      <c r="B549" s="253" t="s">
        <v>2706</v>
      </c>
    </row>
    <row r="550" spans="1:2">
      <c r="A550" s="254" t="s">
        <v>2707</v>
      </c>
      <c r="B550" s="253" t="s">
        <v>2708</v>
      </c>
    </row>
    <row r="551" spans="1:2">
      <c r="A551" s="254" t="s">
        <v>2709</v>
      </c>
      <c r="B551" s="253" t="s">
        <v>2710</v>
      </c>
    </row>
    <row r="552" spans="1:2">
      <c r="A552" s="254" t="s">
        <v>2711</v>
      </c>
      <c r="B552" s="253" t="s">
        <v>2712</v>
      </c>
    </row>
    <row r="553" spans="1:2">
      <c r="A553" s="254" t="s">
        <v>2713</v>
      </c>
      <c r="B553" s="253" t="s">
        <v>2714</v>
      </c>
    </row>
    <row r="554" spans="1:2">
      <c r="A554" s="254" t="s">
        <v>2715</v>
      </c>
      <c r="B554" s="253" t="s">
        <v>2716</v>
      </c>
    </row>
    <row r="555" spans="1:2">
      <c r="A555" s="254" t="s">
        <v>2717</v>
      </c>
      <c r="B555" s="253" t="s">
        <v>2718</v>
      </c>
    </row>
    <row r="556" spans="1:2">
      <c r="A556" s="254" t="s">
        <v>2719</v>
      </c>
      <c r="B556" s="253" t="s">
        <v>2720</v>
      </c>
    </row>
    <row r="557" spans="1:2">
      <c r="A557" s="254" t="s">
        <v>2721</v>
      </c>
      <c r="B557" s="253" t="s">
        <v>2722</v>
      </c>
    </row>
    <row r="558" spans="1:2">
      <c r="A558" s="254" t="s">
        <v>2723</v>
      </c>
      <c r="B558" s="253" t="s">
        <v>2724</v>
      </c>
    </row>
    <row r="559" spans="1:2">
      <c r="A559" s="254" t="s">
        <v>2725</v>
      </c>
      <c r="B559" s="253" t="s">
        <v>2726</v>
      </c>
    </row>
    <row r="560" spans="1:2">
      <c r="A560" s="254" t="s">
        <v>2727</v>
      </c>
      <c r="B560" s="253" t="s">
        <v>2728</v>
      </c>
    </row>
    <row r="561" spans="1:2">
      <c r="A561" s="254" t="s">
        <v>2729</v>
      </c>
      <c r="B561" s="253" t="s">
        <v>2730</v>
      </c>
    </row>
    <row r="562" spans="1:2">
      <c r="A562" s="254" t="s">
        <v>2731</v>
      </c>
      <c r="B562" s="253" t="s">
        <v>2732</v>
      </c>
    </row>
    <row r="563" spans="1:2">
      <c r="A563" s="254" t="s">
        <v>2733</v>
      </c>
      <c r="B563" s="253" t="s">
        <v>2734</v>
      </c>
    </row>
    <row r="564" spans="1:2">
      <c r="A564" s="254" t="s">
        <v>2735</v>
      </c>
      <c r="B564" s="253" t="s">
        <v>2736</v>
      </c>
    </row>
    <row r="565" spans="1:2">
      <c r="A565" s="254" t="s">
        <v>2737</v>
      </c>
      <c r="B565" s="253" t="s">
        <v>2738</v>
      </c>
    </row>
    <row r="566" spans="1:2">
      <c r="A566" s="254" t="s">
        <v>2739</v>
      </c>
      <c r="B566" s="253" t="s">
        <v>2740</v>
      </c>
    </row>
    <row r="567" spans="1:2">
      <c r="A567" s="254" t="s">
        <v>2741</v>
      </c>
      <c r="B567" s="253" t="s">
        <v>2742</v>
      </c>
    </row>
    <row r="568" spans="1:2">
      <c r="A568" s="254" t="s">
        <v>2743</v>
      </c>
      <c r="B568" s="253" t="s">
        <v>2744</v>
      </c>
    </row>
    <row r="569" spans="1:2">
      <c r="A569" s="254" t="s">
        <v>2745</v>
      </c>
      <c r="B569" s="253" t="s">
        <v>2746</v>
      </c>
    </row>
    <row r="570" spans="1:2">
      <c r="A570" s="254" t="s">
        <v>2747</v>
      </c>
      <c r="B570" s="253" t="s">
        <v>2748</v>
      </c>
    </row>
    <row r="571" spans="1:2">
      <c r="A571" s="254" t="s">
        <v>2749</v>
      </c>
      <c r="B571" s="253" t="s">
        <v>2750</v>
      </c>
    </row>
    <row r="572" spans="1:2">
      <c r="A572" s="254" t="s">
        <v>2751</v>
      </c>
      <c r="B572" s="253" t="s">
        <v>1750</v>
      </c>
    </row>
    <row r="573" spans="1:2">
      <c r="A573" s="254" t="s">
        <v>2752</v>
      </c>
      <c r="B573" s="253" t="s">
        <v>2753</v>
      </c>
    </row>
    <row r="574" spans="1:2">
      <c r="A574" s="254" t="s">
        <v>2754</v>
      </c>
      <c r="B574" s="253" t="s">
        <v>2755</v>
      </c>
    </row>
    <row r="575" spans="1:2">
      <c r="A575" s="254" t="s">
        <v>2756</v>
      </c>
      <c r="B575" s="253" t="s">
        <v>2757</v>
      </c>
    </row>
    <row r="576" spans="1:2">
      <c r="A576" s="254" t="s">
        <v>2758</v>
      </c>
      <c r="B576" s="253" t="s">
        <v>2759</v>
      </c>
    </row>
    <row r="577" spans="1:2">
      <c r="A577" s="254" t="s">
        <v>2760</v>
      </c>
      <c r="B577" s="253" t="s">
        <v>2761</v>
      </c>
    </row>
    <row r="578" spans="1:2">
      <c r="A578" s="254" t="s">
        <v>2762</v>
      </c>
      <c r="B578" s="253" t="s">
        <v>2763</v>
      </c>
    </row>
    <row r="579" spans="1:2">
      <c r="A579" s="254" t="s">
        <v>2764</v>
      </c>
      <c r="B579" s="253" t="s">
        <v>2765</v>
      </c>
    </row>
    <row r="580" spans="1:2">
      <c r="A580" s="254" t="s">
        <v>2766</v>
      </c>
      <c r="B580" s="253" t="s">
        <v>2767</v>
      </c>
    </row>
    <row r="581" spans="1:2">
      <c r="A581" s="254" t="s">
        <v>2768</v>
      </c>
      <c r="B581" s="253" t="s">
        <v>2769</v>
      </c>
    </row>
    <row r="582" spans="1:2">
      <c r="A582" s="254" t="s">
        <v>2770</v>
      </c>
      <c r="B582" s="253" t="s">
        <v>2771</v>
      </c>
    </row>
    <row r="583" spans="1:2">
      <c r="A583" s="254" t="s">
        <v>2772</v>
      </c>
      <c r="B583" s="253" t="s">
        <v>2773</v>
      </c>
    </row>
    <row r="584" spans="1:2">
      <c r="A584" s="254" t="s">
        <v>2774</v>
      </c>
      <c r="B584" s="253" t="s">
        <v>2775</v>
      </c>
    </row>
    <row r="585" spans="1:2">
      <c r="A585" s="254" t="s">
        <v>2776</v>
      </c>
      <c r="B585" s="253" t="s">
        <v>2777</v>
      </c>
    </row>
    <row r="586" spans="1:2">
      <c r="A586" s="254" t="s">
        <v>2778</v>
      </c>
      <c r="B586" s="253" t="s">
        <v>2779</v>
      </c>
    </row>
    <row r="587" spans="1:2">
      <c r="A587" s="254" t="s">
        <v>2780</v>
      </c>
      <c r="B587" s="253" t="s">
        <v>2781</v>
      </c>
    </row>
    <row r="588" spans="1:2">
      <c r="A588" s="254" t="s">
        <v>2782</v>
      </c>
      <c r="B588" s="253" t="s">
        <v>2783</v>
      </c>
    </row>
    <row r="589" spans="1:2">
      <c r="A589" s="254" t="s">
        <v>2784</v>
      </c>
      <c r="B589" s="253" t="s">
        <v>2785</v>
      </c>
    </row>
    <row r="590" spans="1:2">
      <c r="A590" s="254" t="s">
        <v>2786</v>
      </c>
      <c r="B590" s="253" t="s">
        <v>2787</v>
      </c>
    </row>
    <row r="591" spans="1:2">
      <c r="A591" s="254" t="s">
        <v>2788</v>
      </c>
      <c r="B591" s="253" t="s">
        <v>2789</v>
      </c>
    </row>
    <row r="592" spans="1:2">
      <c r="A592" s="254" t="s">
        <v>2790</v>
      </c>
      <c r="B592" s="253" t="s">
        <v>2791</v>
      </c>
    </row>
    <row r="593" spans="1:2">
      <c r="A593" s="254" t="s">
        <v>2792</v>
      </c>
      <c r="B593" s="253" t="s">
        <v>2793</v>
      </c>
    </row>
    <row r="594" spans="1:2">
      <c r="A594" s="254" t="s">
        <v>2794</v>
      </c>
      <c r="B594" s="253" t="s">
        <v>2795</v>
      </c>
    </row>
    <row r="595" spans="1:2">
      <c r="A595" s="254" t="s">
        <v>2796</v>
      </c>
      <c r="B595" s="253" t="s">
        <v>2797</v>
      </c>
    </row>
    <row r="596" spans="1:2">
      <c r="A596" s="254" t="s">
        <v>2798</v>
      </c>
      <c r="B596" s="253" t="s">
        <v>2799</v>
      </c>
    </row>
    <row r="597" spans="1:2">
      <c r="A597" s="254" t="s">
        <v>2800</v>
      </c>
      <c r="B597" s="253" t="s">
        <v>2801</v>
      </c>
    </row>
    <row r="598" spans="1:2">
      <c r="A598" s="254" t="s">
        <v>2802</v>
      </c>
      <c r="B598" s="253" t="s">
        <v>2803</v>
      </c>
    </row>
    <row r="599" spans="1:2">
      <c r="A599" s="254" t="s">
        <v>2804</v>
      </c>
      <c r="B599" s="253" t="s">
        <v>2805</v>
      </c>
    </row>
    <row r="600" spans="1:2">
      <c r="A600" s="254" t="s">
        <v>2806</v>
      </c>
      <c r="B600" s="253" t="s">
        <v>2807</v>
      </c>
    </row>
    <row r="601" spans="1:2">
      <c r="A601" s="254" t="s">
        <v>2808</v>
      </c>
      <c r="B601" s="253" t="s">
        <v>2809</v>
      </c>
    </row>
    <row r="602" spans="1:2">
      <c r="A602" s="254" t="s">
        <v>2810</v>
      </c>
      <c r="B602" s="253" t="s">
        <v>2811</v>
      </c>
    </row>
    <row r="603" spans="1:2">
      <c r="A603" s="254" t="s">
        <v>2812</v>
      </c>
      <c r="B603" s="253" t="s">
        <v>2813</v>
      </c>
    </row>
    <row r="604" spans="1:2">
      <c r="A604" s="254" t="s">
        <v>2814</v>
      </c>
      <c r="B604" s="253" t="s">
        <v>2815</v>
      </c>
    </row>
    <row r="605" spans="1:2">
      <c r="A605" s="254" t="s">
        <v>2816</v>
      </c>
      <c r="B605" s="253" t="s">
        <v>2817</v>
      </c>
    </row>
    <row r="606" spans="1:2">
      <c r="A606" s="254" t="s">
        <v>2818</v>
      </c>
      <c r="B606" s="253" t="s">
        <v>2819</v>
      </c>
    </row>
    <row r="607" spans="1:2">
      <c r="A607" s="254" t="s">
        <v>2820</v>
      </c>
      <c r="B607" s="253" t="s">
        <v>2821</v>
      </c>
    </row>
    <row r="608" spans="1:2">
      <c r="A608" s="254" t="s">
        <v>2822</v>
      </c>
      <c r="B608" s="253" t="s">
        <v>2823</v>
      </c>
    </row>
    <row r="609" spans="1:2">
      <c r="A609" s="254" t="s">
        <v>2824</v>
      </c>
      <c r="B609" s="253" t="s">
        <v>2825</v>
      </c>
    </row>
    <row r="610" spans="1:2">
      <c r="A610" s="254" t="s">
        <v>2826</v>
      </c>
      <c r="B610" s="253" t="s">
        <v>2827</v>
      </c>
    </row>
    <row r="611" spans="1:2">
      <c r="A611" s="254" t="s">
        <v>2828</v>
      </c>
      <c r="B611" s="253" t="s">
        <v>2829</v>
      </c>
    </row>
    <row r="612" spans="1:2">
      <c r="A612" s="254" t="s">
        <v>2830</v>
      </c>
      <c r="B612" s="253" t="s">
        <v>2831</v>
      </c>
    </row>
    <row r="613" spans="1:2">
      <c r="A613" s="254" t="s">
        <v>2832</v>
      </c>
      <c r="B613" s="253" t="s">
        <v>2833</v>
      </c>
    </row>
    <row r="614" spans="1:2">
      <c r="A614" s="254" t="s">
        <v>2834</v>
      </c>
      <c r="B614" s="253" t="s">
        <v>2835</v>
      </c>
    </row>
    <row r="615" spans="1:2">
      <c r="A615" s="254" t="s">
        <v>2836</v>
      </c>
      <c r="B615" s="253" t="s">
        <v>2837</v>
      </c>
    </row>
    <row r="616" spans="1:2">
      <c r="A616" s="254" t="s">
        <v>2838</v>
      </c>
      <c r="B616" s="253" t="s">
        <v>2839</v>
      </c>
    </row>
    <row r="617" spans="1:2">
      <c r="A617" s="254" t="s">
        <v>2840</v>
      </c>
      <c r="B617" s="253" t="s">
        <v>2841</v>
      </c>
    </row>
    <row r="618" spans="1:2">
      <c r="A618" s="254" t="s">
        <v>2842</v>
      </c>
      <c r="B618" s="253" t="s">
        <v>2843</v>
      </c>
    </row>
    <row r="619" spans="1:2">
      <c r="A619" s="254" t="s">
        <v>2844</v>
      </c>
      <c r="B619" s="253" t="s">
        <v>2845</v>
      </c>
    </row>
    <row r="620" spans="1:2">
      <c r="A620" s="254" t="s">
        <v>2846</v>
      </c>
      <c r="B620" s="253" t="s">
        <v>2847</v>
      </c>
    </row>
    <row r="621" spans="1:2">
      <c r="A621" s="254" t="s">
        <v>2848</v>
      </c>
      <c r="B621" s="253" t="s">
        <v>2849</v>
      </c>
    </row>
    <row r="622" spans="1:2">
      <c r="A622" s="254" t="s">
        <v>2850</v>
      </c>
      <c r="B622" s="253" t="s">
        <v>2851</v>
      </c>
    </row>
    <row r="623" spans="1:2">
      <c r="A623" s="254" t="s">
        <v>2852</v>
      </c>
      <c r="B623" s="253" t="s">
        <v>2853</v>
      </c>
    </row>
    <row r="624" spans="1:2">
      <c r="A624" s="254" t="s">
        <v>2854</v>
      </c>
      <c r="B624" s="253" t="s">
        <v>2855</v>
      </c>
    </row>
    <row r="625" spans="1:2">
      <c r="A625" s="254" t="s">
        <v>2856</v>
      </c>
      <c r="B625" s="253" t="s">
        <v>2857</v>
      </c>
    </row>
    <row r="626" spans="1:2">
      <c r="A626" s="254" t="s">
        <v>2858</v>
      </c>
      <c r="B626" s="253" t="s">
        <v>2859</v>
      </c>
    </row>
    <row r="627" spans="1:2">
      <c r="A627" s="254" t="s">
        <v>2860</v>
      </c>
      <c r="B627" s="253" t="s">
        <v>2861</v>
      </c>
    </row>
    <row r="628" spans="1:2">
      <c r="A628" s="254" t="s">
        <v>2862</v>
      </c>
      <c r="B628" s="253" t="s">
        <v>2863</v>
      </c>
    </row>
    <row r="629" spans="1:2">
      <c r="A629" s="254" t="s">
        <v>2864</v>
      </c>
      <c r="B629" s="253" t="s">
        <v>2865</v>
      </c>
    </row>
    <row r="630" spans="1:2">
      <c r="A630" s="254" t="s">
        <v>2866</v>
      </c>
      <c r="B630" s="253" t="s">
        <v>2867</v>
      </c>
    </row>
    <row r="631" spans="1:2">
      <c r="A631" s="254" t="s">
        <v>2868</v>
      </c>
      <c r="B631" s="253" t="s">
        <v>2869</v>
      </c>
    </row>
    <row r="632" spans="1:2">
      <c r="A632" s="254" t="s">
        <v>2870</v>
      </c>
      <c r="B632" s="253" t="s">
        <v>2871</v>
      </c>
    </row>
    <row r="633" spans="1:2">
      <c r="A633" s="254" t="s">
        <v>2872</v>
      </c>
      <c r="B633" s="253" t="s">
        <v>2873</v>
      </c>
    </row>
    <row r="634" spans="1:2">
      <c r="A634" s="254" t="s">
        <v>2874</v>
      </c>
      <c r="B634" s="253" t="s">
        <v>2875</v>
      </c>
    </row>
    <row r="635" spans="1:2">
      <c r="A635" s="254" t="s">
        <v>2876</v>
      </c>
      <c r="B635" s="253" t="s">
        <v>2877</v>
      </c>
    </row>
    <row r="636" spans="1:2">
      <c r="A636" s="254" t="s">
        <v>2878</v>
      </c>
      <c r="B636" s="253" t="s">
        <v>2879</v>
      </c>
    </row>
    <row r="637" spans="1:2">
      <c r="A637" s="254" t="s">
        <v>2880</v>
      </c>
      <c r="B637" s="253" t="s">
        <v>2881</v>
      </c>
    </row>
    <row r="638" spans="1:2">
      <c r="A638" s="254" t="s">
        <v>2882</v>
      </c>
      <c r="B638" s="253" t="s">
        <v>2883</v>
      </c>
    </row>
    <row r="639" spans="1:2">
      <c r="A639" s="254" t="s">
        <v>2884</v>
      </c>
      <c r="B639" s="253" t="s">
        <v>2885</v>
      </c>
    </row>
    <row r="640" spans="1:2">
      <c r="A640" s="254" t="s">
        <v>2886</v>
      </c>
      <c r="B640" s="253" t="s">
        <v>2887</v>
      </c>
    </row>
    <row r="641" spans="1:2">
      <c r="A641" s="254" t="s">
        <v>2888</v>
      </c>
      <c r="B641" s="253" t="s">
        <v>2889</v>
      </c>
    </row>
    <row r="642" spans="1:2">
      <c r="A642" s="254" t="s">
        <v>2890</v>
      </c>
      <c r="B642" s="253" t="s">
        <v>2891</v>
      </c>
    </row>
    <row r="643" spans="1:2">
      <c r="A643" s="254" t="s">
        <v>2892</v>
      </c>
      <c r="B643" s="253" t="s">
        <v>2893</v>
      </c>
    </row>
    <row r="644" spans="1:2">
      <c r="A644" s="254" t="s">
        <v>2894</v>
      </c>
      <c r="B644" s="253" t="s">
        <v>2895</v>
      </c>
    </row>
    <row r="645" spans="1:2">
      <c r="A645" s="254" t="s">
        <v>2896</v>
      </c>
      <c r="B645" s="253" t="s">
        <v>2897</v>
      </c>
    </row>
    <row r="646" spans="1:2">
      <c r="A646" s="254" t="s">
        <v>2898</v>
      </c>
      <c r="B646" s="253" t="s">
        <v>2899</v>
      </c>
    </row>
    <row r="647" spans="1:2">
      <c r="A647" s="254" t="s">
        <v>2900</v>
      </c>
      <c r="B647" s="253" t="s">
        <v>2901</v>
      </c>
    </row>
    <row r="648" spans="1:2">
      <c r="A648" s="254" t="s">
        <v>2902</v>
      </c>
      <c r="B648" s="253" t="s">
        <v>2903</v>
      </c>
    </row>
    <row r="649" spans="1:2">
      <c r="A649" s="254" t="s">
        <v>2904</v>
      </c>
      <c r="B649" s="253" t="s">
        <v>2905</v>
      </c>
    </row>
    <row r="650" spans="1:2">
      <c r="A650" s="254" t="s">
        <v>2906</v>
      </c>
      <c r="B650" s="253" t="s">
        <v>2907</v>
      </c>
    </row>
    <row r="651" spans="1:2">
      <c r="A651" s="254" t="s">
        <v>2908</v>
      </c>
      <c r="B651" s="253" t="s">
        <v>2909</v>
      </c>
    </row>
    <row r="652" spans="1:2">
      <c r="A652" s="254" t="s">
        <v>2910</v>
      </c>
      <c r="B652" s="253" t="s">
        <v>2911</v>
      </c>
    </row>
    <row r="653" spans="1:2">
      <c r="A653" s="254" t="s">
        <v>2912</v>
      </c>
      <c r="B653" s="253" t="s">
        <v>2913</v>
      </c>
    </row>
    <row r="654" spans="1:2">
      <c r="A654" s="254" t="s">
        <v>2914</v>
      </c>
      <c r="B654" s="253" t="s">
        <v>2915</v>
      </c>
    </row>
    <row r="655" spans="1:2">
      <c r="A655" s="254" t="s">
        <v>2916</v>
      </c>
      <c r="B655" s="253" t="s">
        <v>2917</v>
      </c>
    </row>
    <row r="656" spans="1:2">
      <c r="A656" s="254" t="s">
        <v>2918</v>
      </c>
      <c r="B656" s="253" t="s">
        <v>2919</v>
      </c>
    </row>
    <row r="657" spans="1:2">
      <c r="A657" s="254" t="s">
        <v>2920</v>
      </c>
      <c r="B657" s="253" t="s">
        <v>2921</v>
      </c>
    </row>
    <row r="658" spans="1:2">
      <c r="A658" s="254" t="s">
        <v>2922</v>
      </c>
      <c r="B658" s="253" t="s">
        <v>2923</v>
      </c>
    </row>
    <row r="659" spans="1:2">
      <c r="A659" s="254" t="s">
        <v>2924</v>
      </c>
      <c r="B659" s="253" t="s">
        <v>2925</v>
      </c>
    </row>
    <row r="660" spans="1:2">
      <c r="A660" s="254" t="s">
        <v>2926</v>
      </c>
      <c r="B660" s="253" t="s">
        <v>2927</v>
      </c>
    </row>
    <row r="661" spans="1:2">
      <c r="A661" s="254" t="s">
        <v>2928</v>
      </c>
      <c r="B661" s="253" t="s">
        <v>2929</v>
      </c>
    </row>
    <row r="662" spans="1:2">
      <c r="A662" s="254" t="s">
        <v>2930</v>
      </c>
      <c r="B662" s="253" t="s">
        <v>2931</v>
      </c>
    </row>
    <row r="663" spans="1:2">
      <c r="A663" s="254" t="s">
        <v>2932</v>
      </c>
      <c r="B663" s="253" t="s">
        <v>2933</v>
      </c>
    </row>
    <row r="664" spans="1:2">
      <c r="A664" s="254" t="s">
        <v>2934</v>
      </c>
      <c r="B664" s="253" t="s">
        <v>2935</v>
      </c>
    </row>
    <row r="665" spans="1:2">
      <c r="A665" s="254" t="s">
        <v>2936</v>
      </c>
      <c r="B665" s="253" t="s">
        <v>2937</v>
      </c>
    </row>
    <row r="666" spans="1:2">
      <c r="A666" s="254" t="s">
        <v>2938</v>
      </c>
      <c r="B666" s="253" t="s">
        <v>2939</v>
      </c>
    </row>
    <row r="667" spans="1:2">
      <c r="A667" s="254" t="s">
        <v>2940</v>
      </c>
      <c r="B667" s="253" t="s">
        <v>2941</v>
      </c>
    </row>
    <row r="668" spans="1:2">
      <c r="A668" s="254" t="s">
        <v>2942</v>
      </c>
      <c r="B668" s="253" t="s">
        <v>2943</v>
      </c>
    </row>
    <row r="669" spans="1:2">
      <c r="A669" s="254" t="s">
        <v>2944</v>
      </c>
      <c r="B669" s="253" t="s">
        <v>2945</v>
      </c>
    </row>
    <row r="670" spans="1:2">
      <c r="A670" s="254" t="s">
        <v>2946</v>
      </c>
      <c r="B670" s="253" t="s">
        <v>2947</v>
      </c>
    </row>
    <row r="671" spans="1:2">
      <c r="A671" s="254" t="s">
        <v>2948</v>
      </c>
      <c r="B671" s="253" t="s">
        <v>2949</v>
      </c>
    </row>
    <row r="672" spans="1:2">
      <c r="A672" s="254" t="s">
        <v>2950</v>
      </c>
      <c r="B672" s="253" t="s">
        <v>2951</v>
      </c>
    </row>
    <row r="673" spans="1:2">
      <c r="A673" s="254" t="s">
        <v>2952</v>
      </c>
      <c r="B673" s="253" t="s">
        <v>2953</v>
      </c>
    </row>
    <row r="674" spans="1:2">
      <c r="A674" s="254" t="s">
        <v>2954</v>
      </c>
      <c r="B674" s="253" t="s">
        <v>2955</v>
      </c>
    </row>
    <row r="675" spans="1:2">
      <c r="A675" s="254" t="s">
        <v>2956</v>
      </c>
      <c r="B675" s="253" t="s">
        <v>2957</v>
      </c>
    </row>
    <row r="676" spans="1:2">
      <c r="A676" s="254" t="s">
        <v>2958</v>
      </c>
      <c r="B676" s="253" t="s">
        <v>2959</v>
      </c>
    </row>
    <row r="677" spans="1:2">
      <c r="A677" s="254" t="s">
        <v>2960</v>
      </c>
      <c r="B677" s="253" t="s">
        <v>2961</v>
      </c>
    </row>
    <row r="678" spans="1:2">
      <c r="A678" s="254" t="s">
        <v>2962</v>
      </c>
      <c r="B678" s="253" t="s">
        <v>2963</v>
      </c>
    </row>
    <row r="679" spans="1:2">
      <c r="A679" s="254" t="s">
        <v>2964</v>
      </c>
      <c r="B679" s="253" t="s">
        <v>2965</v>
      </c>
    </row>
    <row r="680" spans="1:2">
      <c r="A680" s="254" t="s">
        <v>2966</v>
      </c>
      <c r="B680" s="253" t="s">
        <v>2967</v>
      </c>
    </row>
    <row r="681" spans="1:2">
      <c r="A681" s="254" t="s">
        <v>2968</v>
      </c>
      <c r="B681" s="253" t="s">
        <v>2969</v>
      </c>
    </row>
    <row r="682" spans="1:2">
      <c r="A682" s="254" t="s">
        <v>2970</v>
      </c>
      <c r="B682" s="253" t="s">
        <v>2971</v>
      </c>
    </row>
    <row r="683" spans="1:2">
      <c r="A683" s="254" t="s">
        <v>2972</v>
      </c>
      <c r="B683" s="253" t="s">
        <v>2973</v>
      </c>
    </row>
    <row r="684" spans="1:2">
      <c r="A684" s="254" t="s">
        <v>2974</v>
      </c>
      <c r="B684" s="253" t="s">
        <v>2975</v>
      </c>
    </row>
    <row r="685" spans="1:2">
      <c r="A685" s="254" t="s">
        <v>2976</v>
      </c>
      <c r="B685" s="253" t="s">
        <v>2977</v>
      </c>
    </row>
    <row r="686" spans="1:2">
      <c r="A686" s="254" t="s">
        <v>2978</v>
      </c>
      <c r="B686" s="253" t="s">
        <v>2979</v>
      </c>
    </row>
    <row r="687" spans="1:2">
      <c r="A687" s="254" t="s">
        <v>2980</v>
      </c>
      <c r="B687" s="253" t="s">
        <v>2981</v>
      </c>
    </row>
    <row r="688" spans="1:2">
      <c r="A688" s="254" t="s">
        <v>2982</v>
      </c>
      <c r="B688" s="253" t="s">
        <v>2983</v>
      </c>
    </row>
    <row r="689" spans="1:2">
      <c r="A689" s="254" t="s">
        <v>2984</v>
      </c>
      <c r="B689" s="253" t="s">
        <v>2985</v>
      </c>
    </row>
    <row r="690" spans="1:2">
      <c r="A690" s="254" t="s">
        <v>2986</v>
      </c>
      <c r="B690" s="253" t="s">
        <v>2987</v>
      </c>
    </row>
    <row r="691" spans="1:2">
      <c r="A691" s="254" t="s">
        <v>2988</v>
      </c>
      <c r="B691" s="253" t="s">
        <v>2989</v>
      </c>
    </row>
    <row r="692" spans="1:2">
      <c r="A692" s="254" t="s">
        <v>2990</v>
      </c>
      <c r="B692" s="253" t="s">
        <v>2991</v>
      </c>
    </row>
    <row r="693" spans="1:2">
      <c r="A693" s="254" t="s">
        <v>2992</v>
      </c>
      <c r="B693" s="253" t="s">
        <v>2993</v>
      </c>
    </row>
    <row r="694" spans="1:2">
      <c r="A694" s="254" t="s">
        <v>2994</v>
      </c>
      <c r="B694" s="253" t="s">
        <v>2995</v>
      </c>
    </row>
    <row r="695" spans="1:2">
      <c r="A695" s="254" t="s">
        <v>2996</v>
      </c>
      <c r="B695" s="253" t="s">
        <v>2997</v>
      </c>
    </row>
    <row r="696" spans="1:2">
      <c r="A696" s="254" t="s">
        <v>2998</v>
      </c>
      <c r="B696" s="253" t="s">
        <v>2999</v>
      </c>
    </row>
    <row r="697" spans="1:2">
      <c r="A697" s="254" t="s">
        <v>3000</v>
      </c>
      <c r="B697" s="253" t="s">
        <v>3001</v>
      </c>
    </row>
    <row r="698" spans="1:2">
      <c r="A698" s="254" t="s">
        <v>3002</v>
      </c>
      <c r="B698" s="253" t="s">
        <v>3003</v>
      </c>
    </row>
    <row r="699" spans="1:2">
      <c r="A699" s="254" t="s">
        <v>3004</v>
      </c>
      <c r="B699" s="253" t="s">
        <v>3005</v>
      </c>
    </row>
    <row r="700" spans="1:2">
      <c r="A700" s="254" t="s">
        <v>3006</v>
      </c>
      <c r="B700" s="253" t="s">
        <v>3007</v>
      </c>
    </row>
    <row r="701" spans="1:2">
      <c r="A701" s="254" t="s">
        <v>3008</v>
      </c>
      <c r="B701" s="253" t="s">
        <v>3009</v>
      </c>
    </row>
    <row r="702" spans="1:2">
      <c r="A702" s="254" t="s">
        <v>3010</v>
      </c>
      <c r="B702" s="253" t="s">
        <v>3011</v>
      </c>
    </row>
    <row r="703" spans="1:2">
      <c r="A703" s="254" t="s">
        <v>3012</v>
      </c>
      <c r="B703" s="253" t="s">
        <v>3013</v>
      </c>
    </row>
    <row r="704" spans="1:2">
      <c r="A704" s="254" t="s">
        <v>3014</v>
      </c>
      <c r="B704" s="253" t="s">
        <v>3015</v>
      </c>
    </row>
    <row r="705" spans="1:2">
      <c r="A705" s="254" t="s">
        <v>3016</v>
      </c>
      <c r="B705" s="253" t="s">
        <v>3017</v>
      </c>
    </row>
    <row r="706" spans="1:2">
      <c r="A706" s="254" t="s">
        <v>3018</v>
      </c>
      <c r="B706" s="253" t="s">
        <v>3019</v>
      </c>
    </row>
    <row r="707" spans="1:2">
      <c r="A707" s="254" t="s">
        <v>3020</v>
      </c>
      <c r="B707" s="253" t="s">
        <v>3021</v>
      </c>
    </row>
    <row r="708" spans="1:2">
      <c r="A708" s="254" t="s">
        <v>3022</v>
      </c>
      <c r="B708" s="253" t="s">
        <v>3023</v>
      </c>
    </row>
    <row r="709" spans="1:2">
      <c r="A709" s="254" t="s">
        <v>3024</v>
      </c>
      <c r="B709" s="253" t="s">
        <v>3025</v>
      </c>
    </row>
    <row r="710" spans="1:2">
      <c r="A710" s="254" t="s">
        <v>3026</v>
      </c>
      <c r="B710" s="253" t="s">
        <v>3027</v>
      </c>
    </row>
    <row r="711" spans="1:2">
      <c r="A711" s="254" t="s">
        <v>3028</v>
      </c>
      <c r="B711" s="253" t="s">
        <v>3029</v>
      </c>
    </row>
    <row r="712" spans="1:2">
      <c r="A712" s="254" t="s">
        <v>3030</v>
      </c>
      <c r="B712" s="253" t="s">
        <v>3031</v>
      </c>
    </row>
    <row r="713" spans="1:2">
      <c r="A713" s="254" t="s">
        <v>3032</v>
      </c>
      <c r="B713" s="253" t="s">
        <v>3033</v>
      </c>
    </row>
    <row r="714" spans="1:2">
      <c r="A714" s="254" t="s">
        <v>3034</v>
      </c>
      <c r="B714" s="253" t="s">
        <v>3035</v>
      </c>
    </row>
    <row r="715" spans="1:2">
      <c r="A715" s="254" t="s">
        <v>3036</v>
      </c>
      <c r="B715" s="253" t="s">
        <v>3037</v>
      </c>
    </row>
    <row r="716" spans="1:2">
      <c r="A716" s="254" t="s">
        <v>3038</v>
      </c>
      <c r="B716" s="253" t="s">
        <v>3039</v>
      </c>
    </row>
    <row r="717" spans="1:2">
      <c r="A717" s="254" t="s">
        <v>3040</v>
      </c>
      <c r="B717" s="253" t="s">
        <v>3041</v>
      </c>
    </row>
    <row r="718" spans="1:2">
      <c r="A718" s="254" t="s">
        <v>3042</v>
      </c>
      <c r="B718" s="253" t="s">
        <v>3043</v>
      </c>
    </row>
    <row r="719" spans="1:2">
      <c r="A719" s="254" t="s">
        <v>3044</v>
      </c>
      <c r="B719" s="253" t="s">
        <v>3045</v>
      </c>
    </row>
    <row r="720" spans="1:2">
      <c r="A720" s="254" t="s">
        <v>3046</v>
      </c>
      <c r="B720" s="253" t="s">
        <v>3047</v>
      </c>
    </row>
    <row r="721" spans="1:2">
      <c r="A721" s="254" t="s">
        <v>3048</v>
      </c>
      <c r="B721" s="253" t="s">
        <v>3049</v>
      </c>
    </row>
    <row r="722" spans="1:2">
      <c r="A722" s="254" t="s">
        <v>3050</v>
      </c>
      <c r="B722" s="253" t="s">
        <v>3051</v>
      </c>
    </row>
    <row r="723" spans="1:2">
      <c r="A723" s="254" t="s">
        <v>3052</v>
      </c>
      <c r="B723" s="253" t="s">
        <v>3053</v>
      </c>
    </row>
    <row r="724" spans="1:2">
      <c r="A724" s="254" t="s">
        <v>3054</v>
      </c>
      <c r="B724" s="253" t="s">
        <v>3055</v>
      </c>
    </row>
    <row r="725" spans="1:2">
      <c r="A725" s="254" t="s">
        <v>3056</v>
      </c>
      <c r="B725" s="253" t="s">
        <v>3057</v>
      </c>
    </row>
    <row r="726" spans="1:2">
      <c r="A726" s="254" t="s">
        <v>3058</v>
      </c>
      <c r="B726" s="253" t="s">
        <v>3059</v>
      </c>
    </row>
    <row r="727" spans="1:2">
      <c r="A727" s="254" t="s">
        <v>3060</v>
      </c>
      <c r="B727" s="253" t="s">
        <v>3061</v>
      </c>
    </row>
    <row r="728" spans="1:2">
      <c r="A728" s="254" t="s">
        <v>3062</v>
      </c>
      <c r="B728" s="253" t="s">
        <v>3063</v>
      </c>
    </row>
    <row r="729" spans="1:2">
      <c r="A729" s="254" t="s">
        <v>3064</v>
      </c>
      <c r="B729" s="253" t="s">
        <v>3065</v>
      </c>
    </row>
    <row r="730" spans="1:2">
      <c r="A730" s="254" t="s">
        <v>3066</v>
      </c>
      <c r="B730" s="253" t="s">
        <v>3067</v>
      </c>
    </row>
    <row r="731" spans="1:2">
      <c r="A731" s="254" t="s">
        <v>3068</v>
      </c>
      <c r="B731" s="253" t="s">
        <v>3069</v>
      </c>
    </row>
    <row r="732" spans="1:2">
      <c r="A732" s="254" t="s">
        <v>3070</v>
      </c>
      <c r="B732" s="253" t="s">
        <v>3071</v>
      </c>
    </row>
    <row r="733" spans="1:2">
      <c r="A733" s="254" t="s">
        <v>3072</v>
      </c>
      <c r="B733" s="253" t="s">
        <v>3073</v>
      </c>
    </row>
    <row r="734" spans="1:2">
      <c r="A734" s="254" t="s">
        <v>3074</v>
      </c>
      <c r="B734" s="253" t="s">
        <v>3075</v>
      </c>
    </row>
    <row r="735" spans="1:2">
      <c r="A735" s="254" t="s">
        <v>3076</v>
      </c>
      <c r="B735" s="253" t="s">
        <v>3077</v>
      </c>
    </row>
    <row r="736" spans="1:2">
      <c r="A736" s="254" t="s">
        <v>3078</v>
      </c>
      <c r="B736" s="253" t="s">
        <v>3079</v>
      </c>
    </row>
    <row r="737" spans="1:2">
      <c r="A737" s="254" t="s">
        <v>3080</v>
      </c>
      <c r="B737" s="253" t="s">
        <v>3081</v>
      </c>
    </row>
    <row r="738" spans="1:2">
      <c r="A738" s="254" t="s">
        <v>3082</v>
      </c>
      <c r="B738" s="253" t="s">
        <v>3083</v>
      </c>
    </row>
    <row r="739" spans="1:2">
      <c r="A739" s="254" t="s">
        <v>3084</v>
      </c>
      <c r="B739" s="253" t="s">
        <v>3085</v>
      </c>
    </row>
    <row r="740" spans="1:2">
      <c r="A740" s="254" t="s">
        <v>3086</v>
      </c>
      <c r="B740" s="253" t="s">
        <v>3087</v>
      </c>
    </row>
    <row r="741" spans="1:2">
      <c r="A741" s="254" t="s">
        <v>3088</v>
      </c>
      <c r="B741" s="253" t="s">
        <v>3089</v>
      </c>
    </row>
    <row r="742" spans="1:2">
      <c r="A742" s="254" t="s">
        <v>3090</v>
      </c>
      <c r="B742" s="253" t="s">
        <v>3091</v>
      </c>
    </row>
    <row r="743" spans="1:2">
      <c r="A743" s="254" t="s">
        <v>3092</v>
      </c>
      <c r="B743" s="253" t="s">
        <v>3093</v>
      </c>
    </row>
    <row r="744" spans="1:2">
      <c r="A744" s="254" t="s">
        <v>3094</v>
      </c>
      <c r="B744" s="253" t="s">
        <v>3095</v>
      </c>
    </row>
    <row r="745" spans="1:2">
      <c r="A745" s="254" t="s">
        <v>3096</v>
      </c>
      <c r="B745" s="253" t="s">
        <v>3097</v>
      </c>
    </row>
    <row r="746" spans="1:2">
      <c r="A746" s="254" t="s">
        <v>3098</v>
      </c>
      <c r="B746" s="253" t="s">
        <v>3099</v>
      </c>
    </row>
    <row r="747" spans="1:2">
      <c r="A747" s="254" t="s">
        <v>3100</v>
      </c>
      <c r="B747" s="253" t="s">
        <v>3101</v>
      </c>
    </row>
    <row r="748" spans="1:2">
      <c r="A748" s="254" t="s">
        <v>3102</v>
      </c>
      <c r="B748" s="253" t="s">
        <v>3103</v>
      </c>
    </row>
    <row r="749" spans="1:2">
      <c r="A749" s="254" t="s">
        <v>3104</v>
      </c>
      <c r="B749" s="253" t="s">
        <v>3105</v>
      </c>
    </row>
    <row r="750" spans="1:2">
      <c r="A750" s="254" t="s">
        <v>3106</v>
      </c>
      <c r="B750" s="253" t="s">
        <v>3107</v>
      </c>
    </row>
    <row r="751" spans="1:2">
      <c r="A751" s="254" t="s">
        <v>3108</v>
      </c>
      <c r="B751" s="253" t="s">
        <v>3109</v>
      </c>
    </row>
    <row r="752" spans="1:2">
      <c r="A752" s="254" t="s">
        <v>3110</v>
      </c>
      <c r="B752" s="253" t="s">
        <v>3111</v>
      </c>
    </row>
    <row r="753" spans="1:2">
      <c r="A753" s="254" t="s">
        <v>3112</v>
      </c>
      <c r="B753" s="253" t="s">
        <v>3113</v>
      </c>
    </row>
    <row r="754" spans="1:2">
      <c r="A754" s="254" t="s">
        <v>3114</v>
      </c>
      <c r="B754" s="253" t="s">
        <v>3115</v>
      </c>
    </row>
    <row r="755" spans="1:2">
      <c r="A755" s="254" t="s">
        <v>3116</v>
      </c>
      <c r="B755" s="253" t="s">
        <v>3117</v>
      </c>
    </row>
    <row r="756" spans="1:2">
      <c r="A756" s="254" t="s">
        <v>3118</v>
      </c>
      <c r="B756" s="253" t="s">
        <v>3119</v>
      </c>
    </row>
    <row r="757" spans="1:2">
      <c r="A757" s="254" t="s">
        <v>3120</v>
      </c>
      <c r="B757" s="253" t="s">
        <v>3121</v>
      </c>
    </row>
    <row r="758" spans="1:2">
      <c r="A758" s="254" t="s">
        <v>3122</v>
      </c>
      <c r="B758" s="253" t="s">
        <v>3123</v>
      </c>
    </row>
    <row r="759" spans="1:2">
      <c r="A759" s="254" t="s">
        <v>3124</v>
      </c>
      <c r="B759" s="253" t="s">
        <v>3125</v>
      </c>
    </row>
    <row r="760" spans="1:2">
      <c r="A760" s="254" t="s">
        <v>3126</v>
      </c>
      <c r="B760" s="253" t="s">
        <v>3127</v>
      </c>
    </row>
    <row r="761" spans="1:2">
      <c r="A761" s="254" t="s">
        <v>3128</v>
      </c>
      <c r="B761" s="253" t="s">
        <v>3129</v>
      </c>
    </row>
    <row r="762" spans="1:2">
      <c r="A762" s="254" t="s">
        <v>3130</v>
      </c>
      <c r="B762" s="253" t="s">
        <v>3131</v>
      </c>
    </row>
    <row r="763" spans="1:2">
      <c r="A763" s="254" t="s">
        <v>3132</v>
      </c>
      <c r="B763" s="253" t="s">
        <v>3133</v>
      </c>
    </row>
    <row r="764" spans="1:2">
      <c r="A764" s="254" t="s">
        <v>3134</v>
      </c>
      <c r="B764" s="253" t="s">
        <v>3135</v>
      </c>
    </row>
    <row r="765" spans="1:2">
      <c r="A765" s="254" t="s">
        <v>3136</v>
      </c>
      <c r="B765" s="253" t="s">
        <v>3137</v>
      </c>
    </row>
    <row r="766" spans="1:2">
      <c r="A766" s="254" t="s">
        <v>3138</v>
      </c>
      <c r="B766" s="253" t="s">
        <v>3139</v>
      </c>
    </row>
    <row r="767" spans="1:2">
      <c r="A767" s="254" t="s">
        <v>3140</v>
      </c>
      <c r="B767" s="253" t="s">
        <v>3141</v>
      </c>
    </row>
    <row r="768" spans="1:2">
      <c r="A768" s="254" t="s">
        <v>3142</v>
      </c>
      <c r="B768" s="253" t="s">
        <v>3143</v>
      </c>
    </row>
    <row r="769" spans="1:2">
      <c r="A769" s="254" t="s">
        <v>3144</v>
      </c>
      <c r="B769" s="253" t="s">
        <v>3145</v>
      </c>
    </row>
    <row r="770" spans="1:2">
      <c r="A770" s="254" t="s">
        <v>3146</v>
      </c>
      <c r="B770" s="253" t="s">
        <v>3147</v>
      </c>
    </row>
    <row r="771" spans="1:2">
      <c r="A771" s="254" t="s">
        <v>3148</v>
      </c>
      <c r="B771" s="253" t="s">
        <v>3149</v>
      </c>
    </row>
    <row r="772" spans="1:2">
      <c r="A772" s="254" t="s">
        <v>3150</v>
      </c>
      <c r="B772" s="253" t="s">
        <v>3151</v>
      </c>
    </row>
    <row r="773" spans="1:2">
      <c r="A773" s="254" t="s">
        <v>3152</v>
      </c>
      <c r="B773" s="253" t="s">
        <v>3153</v>
      </c>
    </row>
    <row r="774" spans="1:2">
      <c r="A774" s="254" t="s">
        <v>3154</v>
      </c>
      <c r="B774" s="253" t="s">
        <v>3155</v>
      </c>
    </row>
    <row r="775" spans="1:2">
      <c r="A775" s="254" t="s">
        <v>3156</v>
      </c>
      <c r="B775" s="253" t="s">
        <v>3157</v>
      </c>
    </row>
    <row r="776" spans="1:2">
      <c r="A776" s="254" t="s">
        <v>3158</v>
      </c>
      <c r="B776" s="253" t="s">
        <v>3159</v>
      </c>
    </row>
    <row r="777" spans="1:2">
      <c r="A777" s="254" t="s">
        <v>3160</v>
      </c>
      <c r="B777" s="253" t="s">
        <v>3161</v>
      </c>
    </row>
    <row r="778" spans="1:2">
      <c r="A778" s="254" t="s">
        <v>3162</v>
      </c>
      <c r="B778" s="253" t="s">
        <v>3163</v>
      </c>
    </row>
    <row r="779" spans="1:2">
      <c r="A779" s="254" t="s">
        <v>3164</v>
      </c>
      <c r="B779" s="253" t="s">
        <v>3165</v>
      </c>
    </row>
    <row r="780" spans="1:2">
      <c r="A780" s="254" t="s">
        <v>3166</v>
      </c>
      <c r="B780" s="253" t="s">
        <v>3167</v>
      </c>
    </row>
    <row r="781" spans="1:2">
      <c r="A781" s="254" t="s">
        <v>3168</v>
      </c>
      <c r="B781" s="253" t="s">
        <v>3169</v>
      </c>
    </row>
    <row r="782" spans="1:2">
      <c r="A782" s="254" t="s">
        <v>3170</v>
      </c>
      <c r="B782" s="253" t="s">
        <v>3171</v>
      </c>
    </row>
    <row r="783" spans="1:2">
      <c r="A783" s="254" t="s">
        <v>3172</v>
      </c>
      <c r="B783" s="253" t="s">
        <v>3173</v>
      </c>
    </row>
    <row r="784" spans="1:2">
      <c r="A784" s="254" t="s">
        <v>3174</v>
      </c>
      <c r="B784" s="253" t="s">
        <v>3175</v>
      </c>
    </row>
    <row r="785" spans="1:2">
      <c r="A785" s="254" t="s">
        <v>3176</v>
      </c>
      <c r="B785" s="253" t="s">
        <v>3177</v>
      </c>
    </row>
    <row r="786" spans="1:2">
      <c r="A786" s="254" t="s">
        <v>3178</v>
      </c>
      <c r="B786" s="253" t="s">
        <v>3179</v>
      </c>
    </row>
    <row r="787" spans="1:2">
      <c r="A787" s="254" t="s">
        <v>3180</v>
      </c>
      <c r="B787" s="253" t="s">
        <v>2551</v>
      </c>
    </row>
    <row r="788" spans="1:2">
      <c r="A788" s="254" t="s">
        <v>3181</v>
      </c>
      <c r="B788" s="253" t="s">
        <v>3182</v>
      </c>
    </row>
    <row r="789" spans="1:2">
      <c r="A789" s="254" t="s">
        <v>3183</v>
      </c>
      <c r="B789" s="253" t="s">
        <v>3184</v>
      </c>
    </row>
    <row r="790" spans="1:2">
      <c r="A790" s="254" t="s">
        <v>3185</v>
      </c>
      <c r="B790" s="253" t="s">
        <v>3186</v>
      </c>
    </row>
    <row r="791" spans="1:2">
      <c r="A791" s="254" t="s">
        <v>3187</v>
      </c>
      <c r="B791" s="253" t="s">
        <v>3188</v>
      </c>
    </row>
    <row r="792" spans="1:2">
      <c r="A792" s="254" t="s">
        <v>3189</v>
      </c>
      <c r="B792" s="253" t="s">
        <v>3190</v>
      </c>
    </row>
    <row r="793" spans="1:2">
      <c r="A793" s="254" t="s">
        <v>3191</v>
      </c>
      <c r="B793" s="253" t="s">
        <v>3192</v>
      </c>
    </row>
    <row r="794" spans="1:2">
      <c r="A794" s="254" t="s">
        <v>3193</v>
      </c>
      <c r="B794" s="253" t="s">
        <v>3194</v>
      </c>
    </row>
    <row r="795" spans="1:2">
      <c r="A795" s="254" t="s">
        <v>3195</v>
      </c>
      <c r="B795" s="253" t="s">
        <v>3196</v>
      </c>
    </row>
    <row r="796" spans="1:2">
      <c r="A796" s="254" t="s">
        <v>3197</v>
      </c>
      <c r="B796" s="253" t="s">
        <v>3198</v>
      </c>
    </row>
    <row r="797" spans="1:2">
      <c r="A797" s="254" t="s">
        <v>3199</v>
      </c>
      <c r="B797" s="253" t="s">
        <v>3200</v>
      </c>
    </row>
    <row r="798" spans="1:2">
      <c r="A798" s="254" t="s">
        <v>3201</v>
      </c>
      <c r="B798" s="253" t="s">
        <v>3202</v>
      </c>
    </row>
    <row r="799" spans="1:2">
      <c r="A799" s="254" t="s">
        <v>3203</v>
      </c>
      <c r="B799" s="253" t="s">
        <v>3204</v>
      </c>
    </row>
    <row r="800" spans="1:2">
      <c r="A800" s="254" t="s">
        <v>3205</v>
      </c>
      <c r="B800" s="253" t="s">
        <v>3206</v>
      </c>
    </row>
    <row r="801" spans="1:2">
      <c r="A801" s="254" t="s">
        <v>3207</v>
      </c>
      <c r="B801" s="253" t="s">
        <v>3208</v>
      </c>
    </row>
    <row r="802" spans="1:2">
      <c r="A802" s="254" t="s">
        <v>3209</v>
      </c>
      <c r="B802" s="253" t="s">
        <v>3210</v>
      </c>
    </row>
    <row r="803" spans="1:2">
      <c r="A803" s="254" t="s">
        <v>3211</v>
      </c>
      <c r="B803" s="253" t="s">
        <v>3212</v>
      </c>
    </row>
    <row r="804" spans="1:2">
      <c r="A804" s="254" t="s">
        <v>3213</v>
      </c>
      <c r="B804" s="253" t="s">
        <v>3214</v>
      </c>
    </row>
    <row r="805" spans="1:2">
      <c r="A805" s="254" t="s">
        <v>3215</v>
      </c>
      <c r="B805" s="253" t="s">
        <v>3216</v>
      </c>
    </row>
    <row r="806" spans="1:2">
      <c r="A806" s="254" t="s">
        <v>3217</v>
      </c>
      <c r="B806" s="253" t="s">
        <v>3218</v>
      </c>
    </row>
    <row r="807" spans="1:2">
      <c r="A807" s="254" t="s">
        <v>3219</v>
      </c>
      <c r="B807" s="253" t="s">
        <v>3220</v>
      </c>
    </row>
    <row r="808" spans="1:2">
      <c r="A808" s="254" t="s">
        <v>3221</v>
      </c>
      <c r="B808" s="253" t="s">
        <v>3222</v>
      </c>
    </row>
    <row r="809" spans="1:2">
      <c r="A809" s="254" t="s">
        <v>3223</v>
      </c>
      <c r="B809" s="253" t="s">
        <v>3224</v>
      </c>
    </row>
    <row r="810" spans="1:2">
      <c r="A810" s="254" t="s">
        <v>3225</v>
      </c>
      <c r="B810" s="253" t="s">
        <v>3226</v>
      </c>
    </row>
    <row r="811" spans="1:2">
      <c r="A811" s="254" t="s">
        <v>3227</v>
      </c>
      <c r="B811" s="253" t="s">
        <v>3228</v>
      </c>
    </row>
    <row r="812" spans="1:2">
      <c r="A812" s="254" t="s">
        <v>3229</v>
      </c>
      <c r="B812" s="253" t="s">
        <v>3230</v>
      </c>
    </row>
    <row r="813" spans="1:2">
      <c r="A813" s="254" t="s">
        <v>3231</v>
      </c>
      <c r="B813" s="253" t="s">
        <v>3232</v>
      </c>
    </row>
    <row r="814" spans="1:2">
      <c r="A814" s="254" t="s">
        <v>3233</v>
      </c>
      <c r="B814" s="253" t="s">
        <v>3234</v>
      </c>
    </row>
    <row r="815" spans="1:2">
      <c r="A815" s="254" t="s">
        <v>3235</v>
      </c>
      <c r="B815" s="253" t="s">
        <v>3236</v>
      </c>
    </row>
    <row r="816" spans="1:2">
      <c r="A816" s="254" t="s">
        <v>3237</v>
      </c>
      <c r="B816" s="253" t="s">
        <v>3238</v>
      </c>
    </row>
    <row r="817" spans="1:2">
      <c r="A817" s="254" t="s">
        <v>3239</v>
      </c>
      <c r="B817" s="253" t="s">
        <v>3240</v>
      </c>
    </row>
    <row r="818" spans="1:2">
      <c r="A818" s="254" t="s">
        <v>3241</v>
      </c>
      <c r="B818" s="253" t="s">
        <v>3242</v>
      </c>
    </row>
    <row r="819" spans="1:2">
      <c r="A819" s="254" t="s">
        <v>3243</v>
      </c>
      <c r="B819" s="253" t="s">
        <v>3244</v>
      </c>
    </row>
    <row r="820" spans="1:2">
      <c r="A820" s="254" t="s">
        <v>3245</v>
      </c>
      <c r="B820" s="253" t="s">
        <v>3246</v>
      </c>
    </row>
    <row r="821" spans="1:2">
      <c r="A821" s="254" t="s">
        <v>3247</v>
      </c>
      <c r="B821" s="253" t="s">
        <v>3248</v>
      </c>
    </row>
    <row r="822" spans="1:2">
      <c r="A822" s="254" t="s">
        <v>3249</v>
      </c>
      <c r="B822" s="253" t="s">
        <v>3250</v>
      </c>
    </row>
    <row r="823" spans="1:2">
      <c r="A823" s="254" t="s">
        <v>3251</v>
      </c>
      <c r="B823" s="253" t="s">
        <v>3252</v>
      </c>
    </row>
    <row r="824" spans="1:2">
      <c r="A824" s="254" t="s">
        <v>3253</v>
      </c>
      <c r="B824" s="253" t="s">
        <v>3254</v>
      </c>
    </row>
    <row r="825" spans="1:2">
      <c r="A825" s="254" t="s">
        <v>3255</v>
      </c>
      <c r="B825" s="253" t="s">
        <v>3256</v>
      </c>
    </row>
    <row r="826" spans="1:2">
      <c r="A826" s="254" t="s">
        <v>3257</v>
      </c>
      <c r="B826" s="253" t="s">
        <v>3258</v>
      </c>
    </row>
    <row r="827" spans="1:2">
      <c r="A827" s="254" t="s">
        <v>3259</v>
      </c>
      <c r="B827" s="253" t="s">
        <v>3260</v>
      </c>
    </row>
    <row r="828" spans="1:2">
      <c r="A828" s="254" t="s">
        <v>3261</v>
      </c>
      <c r="B828" s="253" t="s">
        <v>3262</v>
      </c>
    </row>
    <row r="829" spans="1:2">
      <c r="A829" s="254" t="s">
        <v>3263</v>
      </c>
      <c r="B829" s="253" t="s">
        <v>3264</v>
      </c>
    </row>
    <row r="830" spans="1:2">
      <c r="A830" s="254" t="s">
        <v>3265</v>
      </c>
      <c r="B830" s="253" t="s">
        <v>3266</v>
      </c>
    </row>
    <row r="831" spans="1:2">
      <c r="A831" s="254" t="s">
        <v>3267</v>
      </c>
      <c r="B831" s="253" t="s">
        <v>3198</v>
      </c>
    </row>
    <row r="832" spans="1:2">
      <c r="A832" s="254" t="s">
        <v>3268</v>
      </c>
      <c r="B832" s="253" t="s">
        <v>3204</v>
      </c>
    </row>
    <row r="833" spans="1:2">
      <c r="A833" s="254" t="s">
        <v>3269</v>
      </c>
      <c r="B833" s="253" t="s">
        <v>3270</v>
      </c>
    </row>
    <row r="834" spans="1:2">
      <c r="A834" s="254" t="s">
        <v>3271</v>
      </c>
      <c r="B834" s="253" t="s">
        <v>3272</v>
      </c>
    </row>
    <row r="835" spans="1:2">
      <c r="A835" s="254" t="s">
        <v>3273</v>
      </c>
      <c r="B835" s="253" t="s">
        <v>3274</v>
      </c>
    </row>
    <row r="836" spans="1:2">
      <c r="A836" s="254" t="s">
        <v>3275</v>
      </c>
      <c r="B836" s="253" t="s">
        <v>3276</v>
      </c>
    </row>
    <row r="837" spans="1:2">
      <c r="A837" s="254" t="s">
        <v>3277</v>
      </c>
      <c r="B837" s="253" t="s">
        <v>3278</v>
      </c>
    </row>
    <row r="838" spans="1:2">
      <c r="A838" s="254" t="s">
        <v>3279</v>
      </c>
      <c r="B838" s="253" t="s">
        <v>3280</v>
      </c>
    </row>
    <row r="839" spans="1:2">
      <c r="A839" s="254" t="s">
        <v>3281</v>
      </c>
      <c r="B839" s="253" t="s">
        <v>3282</v>
      </c>
    </row>
    <row r="840" spans="1:2">
      <c r="A840" s="254" t="s">
        <v>3283</v>
      </c>
      <c r="B840" s="253" t="s">
        <v>3284</v>
      </c>
    </row>
    <row r="841" spans="1:2">
      <c r="A841" s="254" t="s">
        <v>3285</v>
      </c>
      <c r="B841" s="253" t="s">
        <v>3286</v>
      </c>
    </row>
    <row r="842" spans="1:2">
      <c r="A842" s="254" t="s">
        <v>3287</v>
      </c>
      <c r="B842" s="253" t="s">
        <v>3288</v>
      </c>
    </row>
    <row r="843" spans="1:2">
      <c r="A843" s="254" t="s">
        <v>3289</v>
      </c>
      <c r="B843" s="253" t="s">
        <v>3290</v>
      </c>
    </row>
    <row r="844" spans="1:2">
      <c r="A844" s="254" t="s">
        <v>3291</v>
      </c>
      <c r="B844" s="253" t="s">
        <v>3292</v>
      </c>
    </row>
    <row r="845" spans="1:2">
      <c r="A845" s="254" t="s">
        <v>3293</v>
      </c>
      <c r="B845" s="253" t="s">
        <v>3294</v>
      </c>
    </row>
    <row r="846" spans="1:2">
      <c r="A846" s="254" t="s">
        <v>3295</v>
      </c>
      <c r="B846" s="253" t="s">
        <v>3296</v>
      </c>
    </row>
    <row r="847" spans="1:2">
      <c r="A847" s="254" t="s">
        <v>3297</v>
      </c>
      <c r="B847" s="253" t="s">
        <v>3298</v>
      </c>
    </row>
    <row r="848" spans="1:2">
      <c r="A848" s="254" t="s">
        <v>3299</v>
      </c>
      <c r="B848" s="253" t="s">
        <v>3300</v>
      </c>
    </row>
    <row r="849" spans="1:2">
      <c r="A849" s="254" t="s">
        <v>3301</v>
      </c>
      <c r="B849" s="253" t="s">
        <v>3302</v>
      </c>
    </row>
    <row r="850" spans="1:2">
      <c r="A850" s="254" t="s">
        <v>3303</v>
      </c>
      <c r="B850" s="253" t="s">
        <v>3304</v>
      </c>
    </row>
    <row r="851" spans="1:2">
      <c r="A851" s="254" t="s">
        <v>3305</v>
      </c>
      <c r="B851" s="253" t="s">
        <v>3306</v>
      </c>
    </row>
    <row r="852" spans="1:2">
      <c r="A852" s="254" t="s">
        <v>3307</v>
      </c>
      <c r="B852" s="253" t="s">
        <v>3308</v>
      </c>
    </row>
    <row r="853" spans="1:2">
      <c r="A853" s="254" t="s">
        <v>3309</v>
      </c>
      <c r="B853" s="253" t="s">
        <v>3310</v>
      </c>
    </row>
    <row r="854" spans="1:2">
      <c r="A854" s="254" t="s">
        <v>3311</v>
      </c>
      <c r="B854" s="253" t="s">
        <v>3312</v>
      </c>
    </row>
    <row r="855" spans="1:2">
      <c r="A855" s="254" t="s">
        <v>3313</v>
      </c>
      <c r="B855" s="253" t="s">
        <v>3314</v>
      </c>
    </row>
    <row r="856" spans="1:2">
      <c r="A856" s="254" t="s">
        <v>3315</v>
      </c>
      <c r="B856" s="253" t="s">
        <v>3316</v>
      </c>
    </row>
    <row r="857" spans="1:2">
      <c r="A857" s="254" t="s">
        <v>3317</v>
      </c>
      <c r="B857" s="253" t="s">
        <v>3318</v>
      </c>
    </row>
    <row r="858" spans="1:2">
      <c r="A858" s="254" t="s">
        <v>3319</v>
      </c>
      <c r="B858" s="253" t="s">
        <v>3320</v>
      </c>
    </row>
    <row r="859" spans="1:2">
      <c r="A859" s="254" t="s">
        <v>3321</v>
      </c>
      <c r="B859" s="253" t="s">
        <v>3322</v>
      </c>
    </row>
    <row r="860" spans="1:2">
      <c r="A860" s="254" t="s">
        <v>3323</v>
      </c>
      <c r="B860" s="253" t="s">
        <v>3324</v>
      </c>
    </row>
    <row r="861" spans="1:2">
      <c r="A861" s="254" t="s">
        <v>3325</v>
      </c>
      <c r="B861" s="253" t="s">
        <v>3326</v>
      </c>
    </row>
    <row r="862" spans="1:2">
      <c r="A862" s="254" t="s">
        <v>3327</v>
      </c>
      <c r="B862" s="253" t="s">
        <v>3328</v>
      </c>
    </row>
    <row r="863" spans="1:2">
      <c r="A863" s="254" t="s">
        <v>3329</v>
      </c>
      <c r="B863" s="253" t="s">
        <v>3330</v>
      </c>
    </row>
    <row r="864" spans="1:2">
      <c r="A864" s="254" t="s">
        <v>3331</v>
      </c>
      <c r="B864" s="253" t="s">
        <v>3332</v>
      </c>
    </row>
    <row r="865" spans="1:2">
      <c r="A865" s="254" t="s">
        <v>3333</v>
      </c>
      <c r="B865" s="253" t="s">
        <v>3334</v>
      </c>
    </row>
    <row r="866" spans="1:2">
      <c r="A866" s="254" t="s">
        <v>3335</v>
      </c>
      <c r="B866" s="253" t="s">
        <v>2981</v>
      </c>
    </row>
    <row r="867" spans="1:2">
      <c r="A867" s="254" t="s">
        <v>3336</v>
      </c>
      <c r="B867" s="253" t="s">
        <v>3337</v>
      </c>
    </row>
    <row r="868" spans="1:2">
      <c r="A868" s="254" t="s">
        <v>3338</v>
      </c>
      <c r="B868" s="253" t="s">
        <v>3339</v>
      </c>
    </row>
    <row r="869" spans="1:2">
      <c r="A869" s="254" t="s">
        <v>3340</v>
      </c>
      <c r="B869" s="253" t="s">
        <v>3341</v>
      </c>
    </row>
    <row r="870" spans="1:2">
      <c r="A870" s="254" t="s">
        <v>3342</v>
      </c>
      <c r="B870" s="253" t="s">
        <v>3343</v>
      </c>
    </row>
    <row r="871" spans="1:2">
      <c r="A871" s="254" t="s">
        <v>3344</v>
      </c>
      <c r="B871" s="253" t="s">
        <v>3345</v>
      </c>
    </row>
    <row r="872" spans="1:2">
      <c r="A872" s="254" t="s">
        <v>3346</v>
      </c>
      <c r="B872" s="253" t="s">
        <v>3347</v>
      </c>
    </row>
    <row r="873" spans="1:2">
      <c r="A873" s="254" t="s">
        <v>3348</v>
      </c>
      <c r="B873" s="253" t="s">
        <v>3349</v>
      </c>
    </row>
    <row r="874" spans="1:2">
      <c r="A874" s="254" t="s">
        <v>3350</v>
      </c>
      <c r="B874" s="253" t="s">
        <v>3351</v>
      </c>
    </row>
    <row r="875" spans="1:2">
      <c r="A875" s="254" t="s">
        <v>3352</v>
      </c>
      <c r="B875" s="253" t="s">
        <v>3353</v>
      </c>
    </row>
    <row r="876" spans="1:2">
      <c r="A876" s="254" t="s">
        <v>3354</v>
      </c>
      <c r="B876" s="253" t="s">
        <v>3355</v>
      </c>
    </row>
    <row r="877" spans="1:2">
      <c r="A877" s="254" t="s">
        <v>3356</v>
      </c>
      <c r="B877" s="253" t="s">
        <v>3357</v>
      </c>
    </row>
    <row r="878" spans="1:2">
      <c r="A878" s="249" t="s">
        <v>148</v>
      </c>
      <c r="B878" s="250" t="s">
        <v>1949</v>
      </c>
    </row>
    <row r="879" spans="1:2">
      <c r="A879" s="254" t="s">
        <v>984</v>
      </c>
      <c r="B879" s="253" t="s">
        <v>985</v>
      </c>
    </row>
    <row r="880" spans="1:2">
      <c r="A880" s="254" t="s">
        <v>986</v>
      </c>
      <c r="B880" s="253" t="s">
        <v>987</v>
      </c>
    </row>
    <row r="881" spans="1:2">
      <c r="A881" s="254" t="s">
        <v>988</v>
      </c>
      <c r="B881" s="253" t="s">
        <v>989</v>
      </c>
    </row>
    <row r="882" spans="1:2">
      <c r="A882" s="254" t="s">
        <v>1759</v>
      </c>
      <c r="B882" s="253" t="s">
        <v>1760</v>
      </c>
    </row>
    <row r="883" spans="1:2">
      <c r="A883" s="254" t="s">
        <v>1761</v>
      </c>
      <c r="B883" s="253" t="s">
        <v>1762</v>
      </c>
    </row>
    <row r="884" spans="1:2">
      <c r="A884" s="254" t="s">
        <v>3358</v>
      </c>
      <c r="B884" s="253" t="s">
        <v>3359</v>
      </c>
    </row>
    <row r="885" spans="1:2">
      <c r="A885" s="249" t="s">
        <v>1951</v>
      </c>
      <c r="B885" s="250" t="s">
        <v>2130</v>
      </c>
    </row>
    <row r="886" spans="1:2">
      <c r="A886" s="254" t="s">
        <v>3360</v>
      </c>
      <c r="B886" s="253" t="s">
        <v>3361</v>
      </c>
    </row>
    <row r="887" spans="1:2">
      <c r="A887" s="254" t="s">
        <v>3362</v>
      </c>
      <c r="B887" s="253" t="s">
        <v>3363</v>
      </c>
    </row>
    <row r="888" spans="1:2">
      <c r="A888" s="254" t="s">
        <v>3364</v>
      </c>
      <c r="B888" s="253" t="s">
        <v>3365</v>
      </c>
    </row>
    <row r="889" spans="1:2">
      <c r="A889" s="254" t="s">
        <v>3366</v>
      </c>
      <c r="B889" s="253" t="s">
        <v>3365</v>
      </c>
    </row>
    <row r="890" spans="1:2">
      <c r="A890" s="254" t="s">
        <v>3367</v>
      </c>
      <c r="B890" s="253" t="s">
        <v>3368</v>
      </c>
    </row>
    <row r="891" spans="1:2">
      <c r="A891" s="254" t="s">
        <v>3369</v>
      </c>
      <c r="B891" s="253" t="s">
        <v>3370</v>
      </c>
    </row>
    <row r="892" spans="1:2">
      <c r="A892" s="249" t="s">
        <v>258</v>
      </c>
      <c r="B892" s="250" t="s">
        <v>1854</v>
      </c>
    </row>
    <row r="893" spans="1:2">
      <c r="A893" s="254" t="s">
        <v>990</v>
      </c>
      <c r="B893" s="253" t="s">
        <v>340</v>
      </c>
    </row>
    <row r="894" spans="1:2">
      <c r="A894" s="254" t="s">
        <v>991</v>
      </c>
      <c r="B894" s="253" t="s">
        <v>341</v>
      </c>
    </row>
    <row r="895" spans="1:2">
      <c r="A895" s="254" t="s">
        <v>992</v>
      </c>
      <c r="B895" s="253" t="s">
        <v>993</v>
      </c>
    </row>
    <row r="896" spans="1:2">
      <c r="A896" s="254" t="s">
        <v>994</v>
      </c>
      <c r="B896" s="253" t="s">
        <v>995</v>
      </c>
    </row>
    <row r="897" spans="1:2">
      <c r="A897" s="254" t="s">
        <v>1763</v>
      </c>
      <c r="B897" s="253" t="s">
        <v>1316</v>
      </c>
    </row>
    <row r="898" spans="1:2">
      <c r="A898" s="254" t="s">
        <v>3371</v>
      </c>
      <c r="B898" s="253" t="s">
        <v>3372</v>
      </c>
    </row>
    <row r="899" spans="1:2">
      <c r="A899" s="254" t="s">
        <v>3373</v>
      </c>
      <c r="B899" s="253" t="s">
        <v>1323</v>
      </c>
    </row>
    <row r="900" spans="1:2">
      <c r="A900" s="249" t="s">
        <v>786</v>
      </c>
      <c r="B900" s="250" t="s">
        <v>787</v>
      </c>
    </row>
    <row r="901" spans="1:2">
      <c r="A901" s="254" t="s">
        <v>996</v>
      </c>
      <c r="B901" s="253" t="s">
        <v>997</v>
      </c>
    </row>
    <row r="902" spans="1:2">
      <c r="A902" s="254" t="s">
        <v>998</v>
      </c>
      <c r="B902" s="253" t="s">
        <v>999</v>
      </c>
    </row>
    <row r="903" spans="1:2">
      <c r="A903" s="254" t="s">
        <v>1000</v>
      </c>
      <c r="B903" s="253" t="s">
        <v>1001</v>
      </c>
    </row>
    <row r="904" spans="1:2">
      <c r="A904" s="254" t="s">
        <v>3374</v>
      </c>
      <c r="B904" s="253" t="s">
        <v>3375</v>
      </c>
    </row>
    <row r="905" spans="1:2">
      <c r="A905" s="254" t="s">
        <v>3376</v>
      </c>
      <c r="B905" s="253" t="s">
        <v>3377</v>
      </c>
    </row>
    <row r="906" spans="1:2">
      <c r="A906" s="249" t="s">
        <v>788</v>
      </c>
      <c r="B906" s="250" t="s">
        <v>789</v>
      </c>
    </row>
    <row r="907" spans="1:2">
      <c r="A907" s="254" t="s">
        <v>1002</v>
      </c>
      <c r="B907" s="253" t="s">
        <v>1003</v>
      </c>
    </row>
    <row r="908" spans="1:2">
      <c r="A908" s="248" t="s">
        <v>631</v>
      </c>
      <c r="B908" s="252" t="s">
        <v>1061</v>
      </c>
    </row>
    <row r="909" spans="1:2">
      <c r="A909" s="249" t="s">
        <v>796</v>
      </c>
      <c r="B909" s="250" t="s">
        <v>1950</v>
      </c>
    </row>
    <row r="910" spans="1:2">
      <c r="A910" s="254" t="s">
        <v>1004</v>
      </c>
      <c r="B910" s="253" t="s">
        <v>1005</v>
      </c>
    </row>
    <row r="911" spans="1:2">
      <c r="A911" s="254" t="s">
        <v>1006</v>
      </c>
      <c r="B911" s="253" t="s">
        <v>1007</v>
      </c>
    </row>
    <row r="912" spans="1:2">
      <c r="A912" s="254" t="s">
        <v>1008</v>
      </c>
      <c r="B912" s="253" t="s">
        <v>1009</v>
      </c>
    </row>
    <row r="913" spans="1:2">
      <c r="A913" s="254" t="s">
        <v>1010</v>
      </c>
      <c r="B913" s="253" t="s">
        <v>1011</v>
      </c>
    </row>
    <row r="914" spans="1:2">
      <c r="A914" s="254" t="s">
        <v>1012</v>
      </c>
      <c r="B914" s="253" t="s">
        <v>1013</v>
      </c>
    </row>
    <row r="915" spans="1:2">
      <c r="A915" s="254" t="s">
        <v>1014</v>
      </c>
      <c r="B915" s="253" t="s">
        <v>1015</v>
      </c>
    </row>
    <row r="916" spans="1:2">
      <c r="A916" s="254" t="s">
        <v>1016</v>
      </c>
      <c r="B916" s="253" t="s">
        <v>1017</v>
      </c>
    </row>
    <row r="917" spans="1:2">
      <c r="A917" s="254" t="s">
        <v>1018</v>
      </c>
      <c r="B917" s="253" t="s">
        <v>1019</v>
      </c>
    </row>
    <row r="918" spans="1:2">
      <c r="A918" s="254" t="s">
        <v>1020</v>
      </c>
      <c r="B918" s="253" t="s">
        <v>1021</v>
      </c>
    </row>
    <row r="919" spans="1:2">
      <c r="A919" s="254" t="s">
        <v>1022</v>
      </c>
      <c r="B919" s="253" t="s">
        <v>1023</v>
      </c>
    </row>
    <row r="920" spans="1:2">
      <c r="A920" s="254" t="s">
        <v>1024</v>
      </c>
      <c r="B920" s="253" t="s">
        <v>1025</v>
      </c>
    </row>
    <row r="921" spans="1:2">
      <c r="A921" s="254" t="s">
        <v>1026</v>
      </c>
      <c r="B921" s="253" t="s">
        <v>1027</v>
      </c>
    </row>
    <row r="922" spans="1:2">
      <c r="A922" s="254" t="s">
        <v>1028</v>
      </c>
      <c r="B922" s="253" t="s">
        <v>1029</v>
      </c>
    </row>
    <row r="923" spans="1:2">
      <c r="A923" s="254" t="s">
        <v>1030</v>
      </c>
      <c r="B923" s="253" t="s">
        <v>1031</v>
      </c>
    </row>
    <row r="924" spans="1:2">
      <c r="A924" s="254" t="s">
        <v>1032</v>
      </c>
      <c r="B924" s="253" t="s">
        <v>1033</v>
      </c>
    </row>
    <row r="925" spans="1:2">
      <c r="A925" s="254" t="s">
        <v>1034</v>
      </c>
      <c r="B925" s="253" t="s">
        <v>1035</v>
      </c>
    </row>
    <row r="926" spans="1:2">
      <c r="A926" s="254" t="s">
        <v>1036</v>
      </c>
      <c r="B926" s="253" t="s">
        <v>1037</v>
      </c>
    </row>
    <row r="927" spans="1:2">
      <c r="A927" s="254" t="s">
        <v>1038</v>
      </c>
      <c r="B927" s="253" t="s">
        <v>1039</v>
      </c>
    </row>
    <row r="928" spans="1:2">
      <c r="A928" s="254" t="s">
        <v>1040</v>
      </c>
      <c r="B928" s="253" t="s">
        <v>1041</v>
      </c>
    </row>
    <row r="929" spans="1:2">
      <c r="A929" s="254" t="s">
        <v>1042</v>
      </c>
      <c r="B929" s="253" t="s">
        <v>1043</v>
      </c>
    </row>
    <row r="930" spans="1:2">
      <c r="A930" s="254" t="s">
        <v>1044</v>
      </c>
      <c r="B930" s="253" t="s">
        <v>1045</v>
      </c>
    </row>
    <row r="931" spans="1:2">
      <c r="A931" s="254" t="s">
        <v>1046</v>
      </c>
      <c r="B931" s="253" t="s">
        <v>1047</v>
      </c>
    </row>
    <row r="932" spans="1:2">
      <c r="A932" s="254" t="s">
        <v>1048</v>
      </c>
      <c r="B932" s="253" t="s">
        <v>1049</v>
      </c>
    </row>
    <row r="933" spans="1:2">
      <c r="A933" s="254" t="s">
        <v>1050</v>
      </c>
      <c r="B933" s="253" t="s">
        <v>1051</v>
      </c>
    </row>
    <row r="934" spans="1:2">
      <c r="A934" s="254" t="s">
        <v>1764</v>
      </c>
      <c r="B934" s="253" t="s">
        <v>1765</v>
      </c>
    </row>
    <row r="935" spans="1:2">
      <c r="A935" s="254" t="s">
        <v>1766</v>
      </c>
      <c r="B935" s="253" t="s">
        <v>1767</v>
      </c>
    </row>
    <row r="936" spans="1:2">
      <c r="A936" s="254" t="s">
        <v>1768</v>
      </c>
      <c r="B936" s="253" t="s">
        <v>1769</v>
      </c>
    </row>
    <row r="937" spans="1:2">
      <c r="A937" s="254" t="s">
        <v>1770</v>
      </c>
      <c r="B937" s="253" t="s">
        <v>1771</v>
      </c>
    </row>
    <row r="938" spans="1:2">
      <c r="A938" s="254" t="s">
        <v>1772</v>
      </c>
      <c r="B938" s="253" t="s">
        <v>1773</v>
      </c>
    </row>
    <row r="939" spans="1:2">
      <c r="A939" s="254" t="s">
        <v>1774</v>
      </c>
      <c r="B939" s="253" t="s">
        <v>1775</v>
      </c>
    </row>
    <row r="940" spans="1:2">
      <c r="A940" s="254" t="s">
        <v>1776</v>
      </c>
      <c r="B940" s="253" t="s">
        <v>1777</v>
      </c>
    </row>
    <row r="941" spans="1:2">
      <c r="A941" s="254" t="s">
        <v>1778</v>
      </c>
      <c r="B941" s="253" t="s">
        <v>1779</v>
      </c>
    </row>
    <row r="942" spans="1:2">
      <c r="A942" s="254" t="s">
        <v>1780</v>
      </c>
      <c r="B942" s="253" t="s">
        <v>1781</v>
      </c>
    </row>
    <row r="943" spans="1:2">
      <c r="A943" s="254" t="s">
        <v>1782</v>
      </c>
      <c r="B943" s="253" t="s">
        <v>1783</v>
      </c>
    </row>
    <row r="944" spans="1:2">
      <c r="A944" s="254" t="s">
        <v>1784</v>
      </c>
      <c r="B944" s="253" t="s">
        <v>1785</v>
      </c>
    </row>
    <row r="945" spans="1:2">
      <c r="A945" s="254" t="s">
        <v>1786</v>
      </c>
      <c r="B945" s="253" t="s">
        <v>1787</v>
      </c>
    </row>
    <row r="946" spans="1:2">
      <c r="A946" s="254" t="s">
        <v>1788</v>
      </c>
      <c r="B946" s="253" t="s">
        <v>1789</v>
      </c>
    </row>
    <row r="947" spans="1:2">
      <c r="A947" s="254" t="s">
        <v>1790</v>
      </c>
      <c r="B947" s="253" t="s">
        <v>1791</v>
      </c>
    </row>
    <row r="948" spans="1:2">
      <c r="A948" s="254" t="s">
        <v>1792</v>
      </c>
      <c r="B948" s="253" t="s">
        <v>1793</v>
      </c>
    </row>
    <row r="949" spans="1:2">
      <c r="A949" s="254" t="s">
        <v>1794</v>
      </c>
      <c r="B949" s="253" t="s">
        <v>1795</v>
      </c>
    </row>
    <row r="950" spans="1:2">
      <c r="A950" s="254" t="s">
        <v>1796</v>
      </c>
      <c r="B950" s="253" t="s">
        <v>1797</v>
      </c>
    </row>
    <row r="951" spans="1:2">
      <c r="A951" s="254" t="s">
        <v>1798</v>
      </c>
      <c r="B951" s="253" t="s">
        <v>1799</v>
      </c>
    </row>
    <row r="952" spans="1:2">
      <c r="A952" s="254" t="s">
        <v>1800</v>
      </c>
      <c r="B952" s="253" t="s">
        <v>1801</v>
      </c>
    </row>
    <row r="953" spans="1:2">
      <c r="A953" s="254" t="s">
        <v>1802</v>
      </c>
      <c r="B953" s="253" t="s">
        <v>1803</v>
      </c>
    </row>
    <row r="954" spans="1:2">
      <c r="A954" s="254" t="s">
        <v>1804</v>
      </c>
      <c r="B954" s="253" t="s">
        <v>1805</v>
      </c>
    </row>
    <row r="955" spans="1:2">
      <c r="A955" s="254" t="s">
        <v>1806</v>
      </c>
      <c r="B955" s="253" t="s">
        <v>1807</v>
      </c>
    </row>
    <row r="956" spans="1:2">
      <c r="A956" s="254" t="s">
        <v>1808</v>
      </c>
      <c r="B956" s="253" t="s">
        <v>1809</v>
      </c>
    </row>
    <row r="957" spans="1:2">
      <c r="A957" s="254" t="s">
        <v>1810</v>
      </c>
      <c r="B957" s="253" t="s">
        <v>1811</v>
      </c>
    </row>
    <row r="958" spans="1:2">
      <c r="A958" s="254" t="s">
        <v>1812</v>
      </c>
      <c r="B958" s="253" t="s">
        <v>1813</v>
      </c>
    </row>
    <row r="959" spans="1:2">
      <c r="A959" s="254" t="s">
        <v>1814</v>
      </c>
      <c r="B959" s="253" t="s">
        <v>1815</v>
      </c>
    </row>
    <row r="960" spans="1:2">
      <c r="A960" s="254" t="s">
        <v>3378</v>
      </c>
      <c r="B960" s="253" t="s">
        <v>3379</v>
      </c>
    </row>
    <row r="961" spans="1:2">
      <c r="A961" s="254" t="s">
        <v>3380</v>
      </c>
      <c r="B961" s="253" t="s">
        <v>3381</v>
      </c>
    </row>
    <row r="962" spans="1:2">
      <c r="A962" s="254" t="s">
        <v>3382</v>
      </c>
      <c r="B962" s="253" t="s">
        <v>3383</v>
      </c>
    </row>
    <row r="963" spans="1:2">
      <c r="A963" s="254" t="s">
        <v>3384</v>
      </c>
      <c r="B963" s="253" t="s">
        <v>3385</v>
      </c>
    </row>
    <row r="964" spans="1:2">
      <c r="A964" s="254" t="s">
        <v>3386</v>
      </c>
      <c r="B964" s="253" t="s">
        <v>3387</v>
      </c>
    </row>
    <row r="965" spans="1:2">
      <c r="A965" s="254" t="s">
        <v>3388</v>
      </c>
      <c r="B965" s="253" t="s">
        <v>3389</v>
      </c>
    </row>
    <row r="966" spans="1:2">
      <c r="A966" s="254" t="s">
        <v>3390</v>
      </c>
      <c r="B966" s="253" t="s">
        <v>3391</v>
      </c>
    </row>
    <row r="967" spans="1:2">
      <c r="A967" s="254" t="s">
        <v>3392</v>
      </c>
      <c r="B967" s="253" t="s">
        <v>3393</v>
      </c>
    </row>
    <row r="968" spans="1:2">
      <c r="A968" s="254" t="s">
        <v>3394</v>
      </c>
      <c r="B968" s="253" t="s">
        <v>3395</v>
      </c>
    </row>
    <row r="969" spans="1:2">
      <c r="A969" s="254" t="s">
        <v>3396</v>
      </c>
      <c r="B969" s="253" t="s">
        <v>3397</v>
      </c>
    </row>
    <row r="970" spans="1:2">
      <c r="A970" s="254" t="s">
        <v>3398</v>
      </c>
      <c r="B970" s="253" t="s">
        <v>3399</v>
      </c>
    </row>
    <row r="971" spans="1:2">
      <c r="A971" s="254" t="s">
        <v>3400</v>
      </c>
      <c r="B971" s="253" t="s">
        <v>3401</v>
      </c>
    </row>
    <row r="972" spans="1:2">
      <c r="A972" s="254" t="s">
        <v>3402</v>
      </c>
      <c r="B972" s="253" t="s">
        <v>3403</v>
      </c>
    </row>
    <row r="973" spans="1:2">
      <c r="A973" s="254" t="s">
        <v>3404</v>
      </c>
      <c r="B973" s="253" t="s">
        <v>3405</v>
      </c>
    </row>
    <row r="974" spans="1:2">
      <c r="A974" s="254" t="s">
        <v>3406</v>
      </c>
      <c r="B974" s="253" t="s">
        <v>3407</v>
      </c>
    </row>
    <row r="975" spans="1:2">
      <c r="A975" s="254" t="s">
        <v>3408</v>
      </c>
      <c r="B975" s="253" t="s">
        <v>3409</v>
      </c>
    </row>
    <row r="976" spans="1:2">
      <c r="A976" s="254" t="s">
        <v>3410</v>
      </c>
      <c r="B976" s="253" t="s">
        <v>3411</v>
      </c>
    </row>
    <row r="977" spans="1:2">
      <c r="A977" s="254" t="s">
        <v>3412</v>
      </c>
      <c r="B977" s="253" t="s">
        <v>3413</v>
      </c>
    </row>
    <row r="978" spans="1:2">
      <c r="A978" s="254" t="s">
        <v>3414</v>
      </c>
      <c r="B978" s="253" t="s">
        <v>3415</v>
      </c>
    </row>
    <row r="979" spans="1:2">
      <c r="A979" s="254" t="s">
        <v>3416</v>
      </c>
      <c r="B979" s="253" t="s">
        <v>3417</v>
      </c>
    </row>
    <row r="980" spans="1:2">
      <c r="A980" s="254" t="s">
        <v>3418</v>
      </c>
      <c r="B980" s="253" t="s">
        <v>3419</v>
      </c>
    </row>
    <row r="981" spans="1:2">
      <c r="A981" s="254" t="s">
        <v>3420</v>
      </c>
      <c r="B981" s="253" t="s">
        <v>3421</v>
      </c>
    </row>
    <row r="982" spans="1:2">
      <c r="A982" s="254" t="s">
        <v>3422</v>
      </c>
      <c r="B982" s="253" t="s">
        <v>3421</v>
      </c>
    </row>
    <row r="983" spans="1:2">
      <c r="A983" s="254" t="s">
        <v>3423</v>
      </c>
      <c r="B983" s="253" t="s">
        <v>3424</v>
      </c>
    </row>
    <row r="984" spans="1:2">
      <c r="A984" s="254" t="s">
        <v>3425</v>
      </c>
      <c r="B984" s="253" t="s">
        <v>3426</v>
      </c>
    </row>
    <row r="985" spans="1:2">
      <c r="A985" s="254" t="s">
        <v>3427</v>
      </c>
      <c r="B985" s="253" t="s">
        <v>3428</v>
      </c>
    </row>
    <row r="986" spans="1:2">
      <c r="A986" s="254" t="s">
        <v>3429</v>
      </c>
      <c r="B986" s="253" t="s">
        <v>3430</v>
      </c>
    </row>
    <row r="987" spans="1:2">
      <c r="A987" s="254" t="s">
        <v>3431</v>
      </c>
      <c r="B987" s="253" t="s">
        <v>3432</v>
      </c>
    </row>
    <row r="988" spans="1:2">
      <c r="A988" s="254" t="s">
        <v>3433</v>
      </c>
      <c r="B988" s="253" t="s">
        <v>3434</v>
      </c>
    </row>
    <row r="989" spans="1:2">
      <c r="A989" s="254" t="s">
        <v>3435</v>
      </c>
      <c r="B989" s="253" t="s">
        <v>3436</v>
      </c>
    </row>
    <row r="990" spans="1:2">
      <c r="A990" s="254" t="s">
        <v>3437</v>
      </c>
      <c r="B990" s="253" t="s">
        <v>3438</v>
      </c>
    </row>
    <row r="991" spans="1:2">
      <c r="A991" s="254" t="s">
        <v>3439</v>
      </c>
      <c r="B991" s="253" t="s">
        <v>3440</v>
      </c>
    </row>
    <row r="992" spans="1:2">
      <c r="A992" s="254" t="s">
        <v>3441</v>
      </c>
      <c r="B992" s="253" t="s">
        <v>3442</v>
      </c>
    </row>
    <row r="993" spans="1:2">
      <c r="A993" s="254" t="s">
        <v>3443</v>
      </c>
      <c r="B993" s="253" t="s">
        <v>3444</v>
      </c>
    </row>
    <row r="994" spans="1:2">
      <c r="A994" s="254" t="s">
        <v>3445</v>
      </c>
      <c r="B994" s="253" t="s">
        <v>3446</v>
      </c>
    </row>
    <row r="995" spans="1:2">
      <c r="A995" s="254" t="s">
        <v>3447</v>
      </c>
      <c r="B995" s="253" t="s">
        <v>3448</v>
      </c>
    </row>
    <row r="996" spans="1:2">
      <c r="A996" s="254" t="s">
        <v>3449</v>
      </c>
      <c r="B996" s="253" t="s">
        <v>3448</v>
      </c>
    </row>
    <row r="997" spans="1:2">
      <c r="A997" s="254" t="s">
        <v>3450</v>
      </c>
      <c r="B997" s="253" t="s">
        <v>3451</v>
      </c>
    </row>
    <row r="998" spans="1:2">
      <c r="A998" s="254" t="s">
        <v>3452</v>
      </c>
      <c r="B998" s="253" t="s">
        <v>3453</v>
      </c>
    </row>
    <row r="999" spans="1:2">
      <c r="A999" s="254" t="s">
        <v>3454</v>
      </c>
      <c r="B999" s="253" t="s">
        <v>3455</v>
      </c>
    </row>
    <row r="1000" spans="1:2">
      <c r="A1000" s="254" t="s">
        <v>3456</v>
      </c>
      <c r="B1000" s="253" t="s">
        <v>3457</v>
      </c>
    </row>
    <row r="1001" spans="1:2">
      <c r="A1001" s="254" t="s">
        <v>3458</v>
      </c>
      <c r="B1001" s="253" t="s">
        <v>1795</v>
      </c>
    </row>
    <row r="1002" spans="1:2">
      <c r="A1002" s="254" t="s">
        <v>3459</v>
      </c>
      <c r="B1002" s="253" t="s">
        <v>3460</v>
      </c>
    </row>
    <row r="1003" spans="1:2">
      <c r="A1003" s="254" t="s">
        <v>3461</v>
      </c>
      <c r="B1003" s="253" t="s">
        <v>3462</v>
      </c>
    </row>
    <row r="1004" spans="1:2">
      <c r="A1004" s="254" t="s">
        <v>3463</v>
      </c>
      <c r="B1004" s="253" t="s">
        <v>3464</v>
      </c>
    </row>
    <row r="1005" spans="1:2">
      <c r="A1005" s="254" t="s">
        <v>3465</v>
      </c>
      <c r="B1005" s="253" t="s">
        <v>3466</v>
      </c>
    </row>
    <row r="1006" spans="1:2">
      <c r="A1006" s="254" t="s">
        <v>3467</v>
      </c>
      <c r="B1006" s="253" t="s">
        <v>3468</v>
      </c>
    </row>
    <row r="1007" spans="1:2">
      <c r="A1007" s="254" t="s">
        <v>3469</v>
      </c>
      <c r="B1007" s="253" t="s">
        <v>3446</v>
      </c>
    </row>
    <row r="1008" spans="1:2">
      <c r="A1008" s="254" t="s">
        <v>3470</v>
      </c>
      <c r="B1008" s="253" t="s">
        <v>3466</v>
      </c>
    </row>
    <row r="1009" spans="1:2">
      <c r="A1009" s="254" t="s">
        <v>3471</v>
      </c>
      <c r="B1009" s="253" t="s">
        <v>3472</v>
      </c>
    </row>
    <row r="1010" spans="1:2">
      <c r="A1010" s="254" t="s">
        <v>3473</v>
      </c>
      <c r="B1010" s="253" t="s">
        <v>3474</v>
      </c>
    </row>
    <row r="1011" spans="1:2">
      <c r="A1011" s="254" t="s">
        <v>3475</v>
      </c>
      <c r="B1011" s="253" t="s">
        <v>3476</v>
      </c>
    </row>
    <row r="1012" spans="1:2">
      <c r="A1012" s="254" t="s">
        <v>3477</v>
      </c>
      <c r="B1012" s="253" t="s">
        <v>3478</v>
      </c>
    </row>
    <row r="1013" spans="1:2">
      <c r="A1013" s="254" t="s">
        <v>3479</v>
      </c>
      <c r="B1013" s="253" t="s">
        <v>3480</v>
      </c>
    </row>
    <row r="1014" spans="1:2">
      <c r="A1014" s="254" t="s">
        <v>3481</v>
      </c>
      <c r="B1014" s="253" t="s">
        <v>3482</v>
      </c>
    </row>
    <row r="1015" spans="1:2">
      <c r="A1015" s="254" t="s">
        <v>3483</v>
      </c>
      <c r="B1015" s="253" t="s">
        <v>3484</v>
      </c>
    </row>
    <row r="1016" spans="1:2">
      <c r="A1016" s="254" t="s">
        <v>3485</v>
      </c>
      <c r="B1016" s="253" t="s">
        <v>3486</v>
      </c>
    </row>
    <row r="1017" spans="1:2">
      <c r="A1017" s="249" t="s">
        <v>800</v>
      </c>
      <c r="B1017" s="250" t="s">
        <v>785</v>
      </c>
    </row>
    <row r="1018" spans="1:2">
      <c r="A1018" s="254" t="s">
        <v>1052</v>
      </c>
      <c r="B1018" s="253" t="s">
        <v>340</v>
      </c>
    </row>
    <row r="1019" spans="1:2">
      <c r="A1019" s="254" t="s">
        <v>1053</v>
      </c>
      <c r="B1019" s="253" t="s">
        <v>341</v>
      </c>
    </row>
    <row r="1020" spans="1:2">
      <c r="A1020" s="254" t="s">
        <v>1054</v>
      </c>
      <c r="B1020" s="253" t="s">
        <v>1055</v>
      </c>
    </row>
    <row r="1021" spans="1:2">
      <c r="A1021" s="254" t="s">
        <v>1056</v>
      </c>
      <c r="B1021" s="253" t="s">
        <v>993</v>
      </c>
    </row>
    <row r="1022" spans="1:2">
      <c r="A1022" s="254" t="s">
        <v>1816</v>
      </c>
      <c r="B1022" s="253" t="s">
        <v>1817</v>
      </c>
    </row>
    <row r="1023" spans="1:2">
      <c r="A1023" s="254" t="s">
        <v>1818</v>
      </c>
      <c r="B1023" s="253" t="s">
        <v>1316</v>
      </c>
    </row>
    <row r="1024" spans="1:2">
      <c r="A1024" s="254" t="s">
        <v>3487</v>
      </c>
      <c r="B1024" s="253" t="s">
        <v>3372</v>
      </c>
    </row>
    <row r="1025" spans="1:2">
      <c r="A1025" s="248" t="s">
        <v>1108</v>
      </c>
      <c r="B1025" s="252" t="s">
        <v>1109</v>
      </c>
    </row>
    <row r="1026" spans="1:2">
      <c r="A1026" s="249" t="s">
        <v>1136</v>
      </c>
      <c r="B1026" s="250" t="s">
        <v>1137</v>
      </c>
    </row>
    <row r="1027" spans="1:2">
      <c r="A1027" s="254" t="s">
        <v>1328</v>
      </c>
      <c r="B1027" s="253" t="s">
        <v>1329</v>
      </c>
    </row>
    <row r="1028" spans="1:2">
      <c r="A1028" s="249" t="s">
        <v>1138</v>
      </c>
      <c r="B1028" s="250" t="s">
        <v>1139</v>
      </c>
    </row>
    <row r="1029" spans="1:2">
      <c r="A1029" s="254" t="s">
        <v>1330</v>
      </c>
      <c r="B1029" s="253" t="s">
        <v>1331</v>
      </c>
    </row>
    <row r="1030" spans="1:2">
      <c r="A1030" s="254" t="s">
        <v>1332</v>
      </c>
      <c r="B1030" s="253" t="s">
        <v>1333</v>
      </c>
    </row>
    <row r="1031" spans="1:2">
      <c r="A1031" s="248" t="s">
        <v>1145</v>
      </c>
      <c r="B1031" s="252" t="s">
        <v>1146</v>
      </c>
    </row>
    <row r="1032" spans="1:2">
      <c r="A1032" s="249" t="s">
        <v>1153</v>
      </c>
      <c r="B1032" s="250" t="s">
        <v>1154</v>
      </c>
    </row>
    <row r="1033" spans="1:2">
      <c r="A1033" s="254" t="s">
        <v>1334</v>
      </c>
      <c r="B1033" s="253" t="s">
        <v>1335</v>
      </c>
    </row>
    <row r="1034" spans="1:2">
      <c r="A1034" s="254" t="s">
        <v>1336</v>
      </c>
      <c r="B1034" s="253" t="s">
        <v>1337</v>
      </c>
    </row>
    <row r="1035" spans="1:2">
      <c r="A1035" s="248" t="s">
        <v>1246</v>
      </c>
      <c r="B1035" s="252" t="s">
        <v>1247</v>
      </c>
    </row>
    <row r="1036" spans="1:2">
      <c r="A1036" s="249" t="s">
        <v>1272</v>
      </c>
      <c r="B1036" s="250" t="s">
        <v>787</v>
      </c>
    </row>
    <row r="1037" spans="1:2">
      <c r="A1037" s="254" t="s">
        <v>1338</v>
      </c>
      <c r="B1037" s="253" t="s">
        <v>1339</v>
      </c>
    </row>
    <row r="1038" spans="1:2">
      <c r="A1038" s="254" t="s">
        <v>1340</v>
      </c>
      <c r="B1038" s="253" t="s">
        <v>1341</v>
      </c>
    </row>
    <row r="1039" spans="1:2">
      <c r="A1039" s="254" t="s">
        <v>1342</v>
      </c>
      <c r="B1039" s="253" t="s">
        <v>1343</v>
      </c>
    </row>
    <row r="1040" spans="1:2">
      <c r="A1040" s="254" t="s">
        <v>1344</v>
      </c>
      <c r="B1040" s="253" t="s">
        <v>1345</v>
      </c>
    </row>
    <row r="1041" spans="1:2">
      <c r="A1041" s="254" t="s">
        <v>1346</v>
      </c>
      <c r="B1041" s="253" t="s">
        <v>1347</v>
      </c>
    </row>
    <row r="1042" spans="1:2">
      <c r="A1042" s="254" t="s">
        <v>1348</v>
      </c>
      <c r="B1042" s="253" t="s">
        <v>1349</v>
      </c>
    </row>
  </sheetData>
  <autoFilter ref="A1:B94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'ANALITIKA EU PROJEKATA'!Print_Area</vt:lpstr>
      <vt:lpstr>'Opći dio'!Print_Area</vt:lpstr>
      <vt:lpstr>'Plan prihoda za unos u SAP'!Print_Area</vt:lpstr>
      <vt:lpstr>'Plan rashoda za unos u SAP'!Print_Area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milicic</cp:lastModifiedBy>
  <cp:lastPrinted>2022-01-12T16:43:24Z</cp:lastPrinted>
  <dcterms:created xsi:type="dcterms:W3CDTF">2018-09-10T07:36:17Z</dcterms:created>
  <dcterms:modified xsi:type="dcterms:W3CDTF">2022-01-12T19:08:37Z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plana_2022-2024.xlsx</vt:lpwstr>
  </property>
</Properties>
</file>